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36" yWindow="105" windowWidth="19087" windowHeight="10001"/>
  </bookViews>
  <sheets>
    <sheet name="r' Magnitude Calibration" sheetId="1" r:id="rId1"/>
    <sheet name="Seeing" sheetId="3" r:id="rId2"/>
    <sheet name="Seeing, Calculations" sheetId="2" r:id="rId3"/>
  </sheets>
  <definedNames>
    <definedName name="_xlnm._FilterDatabase" localSheetId="0" hidden="1">'r'' Magnitude Calibration'!$A$3:$AU$25</definedName>
    <definedName name="_xlnm._FilterDatabase" localSheetId="1" hidden="1">Seeing!$A$3:$AX$24</definedName>
    <definedName name="_xlnm._FilterDatabase" localSheetId="2" hidden="1">'Seeing, Calculations'!$A$3:$N$23</definedName>
  </definedNames>
  <calcPr calcId="145621"/>
</workbook>
</file>

<file path=xl/calcChain.xml><?xml version="1.0" encoding="utf-8"?>
<calcChain xmlns="http://schemas.openxmlformats.org/spreadsheetml/2006/main">
  <c r="AC4" i="3" l="1"/>
  <c r="AD4" i="3"/>
  <c r="AC6" i="3"/>
  <c r="AD6" i="3"/>
  <c r="AC7" i="3"/>
  <c r="AD7" i="3"/>
  <c r="AC9" i="3"/>
  <c r="AD9" i="3"/>
  <c r="AC10" i="3"/>
  <c r="AD10" i="3"/>
  <c r="AC11" i="3"/>
  <c r="AD11" i="3"/>
  <c r="AC12" i="3"/>
  <c r="AD12" i="3"/>
  <c r="AC13" i="3"/>
  <c r="AD13" i="3"/>
  <c r="AC14" i="3"/>
  <c r="AD14" i="3"/>
  <c r="AC15" i="3"/>
  <c r="AD15" i="3"/>
  <c r="AC16" i="3"/>
  <c r="AD16" i="3"/>
  <c r="AC17" i="3"/>
  <c r="AD17" i="3"/>
  <c r="AC19" i="3"/>
  <c r="AD19" i="3"/>
  <c r="AQ21" i="3" l="1"/>
  <c r="AP21" i="3"/>
  <c r="AD21" i="3"/>
  <c r="AC21" i="3"/>
  <c r="AQ20" i="3"/>
  <c r="AD20" i="3"/>
  <c r="AC20" i="3"/>
  <c r="AQ19" i="3"/>
  <c r="AP19" i="3"/>
  <c r="AQ17" i="3"/>
  <c r="AQ16" i="3"/>
  <c r="AQ15" i="3"/>
  <c r="AQ14" i="3"/>
  <c r="AQ13" i="3"/>
  <c r="AQ12" i="3"/>
  <c r="AQ11" i="3"/>
  <c r="AQ10" i="3"/>
  <c r="AQ9" i="3"/>
  <c r="AQ7" i="3"/>
  <c r="AQ6" i="3"/>
  <c r="AQ4" i="3"/>
  <c r="L39" i="2"/>
  <c r="L33" i="2"/>
  <c r="L34" i="2" s="1"/>
  <c r="L32" i="2"/>
  <c r="I29" i="2"/>
  <c r="AM6" i="1"/>
  <c r="AM7" i="1"/>
  <c r="AM10" i="1"/>
  <c r="AM11" i="1"/>
  <c r="AM12" i="1"/>
  <c r="AM13" i="1"/>
  <c r="AM14" i="1"/>
  <c r="AM15" i="1"/>
  <c r="AM16" i="1"/>
  <c r="AM17" i="1"/>
  <c r="AM18" i="1"/>
  <c r="AM20" i="1"/>
  <c r="AM21" i="1"/>
  <c r="AM23" i="1"/>
  <c r="AM4" i="1"/>
  <c r="K7" i="2" l="1"/>
  <c r="K17" i="2"/>
  <c r="K4" i="2"/>
  <c r="K6" i="2"/>
  <c r="K8" i="2"/>
  <c r="K10" i="2"/>
  <c r="K12" i="2"/>
  <c r="K14" i="2"/>
  <c r="K16" i="2"/>
  <c r="K19" i="2"/>
  <c r="K21" i="2"/>
  <c r="K9" i="2"/>
  <c r="K11" i="2"/>
  <c r="K13" i="2"/>
  <c r="K15" i="2"/>
  <c r="K20" i="2"/>
  <c r="AE20" i="3"/>
  <c r="AF20" i="3" s="1"/>
  <c r="AE4" i="3"/>
  <c r="AF4" i="3" s="1"/>
  <c r="AE6" i="3"/>
  <c r="AE7" i="3"/>
  <c r="AF7" i="3" s="1"/>
  <c r="AE9" i="3"/>
  <c r="AE10" i="3"/>
  <c r="AF10" i="3" s="1"/>
  <c r="AE11" i="3"/>
  <c r="AE12" i="3"/>
  <c r="AF12" i="3" s="1"/>
  <c r="AE13" i="3"/>
  <c r="AE14" i="3"/>
  <c r="AF14" i="3" s="1"/>
  <c r="AE15" i="3"/>
  <c r="AE16" i="3"/>
  <c r="AF16" i="3" s="1"/>
  <c r="AE17" i="3"/>
  <c r="AE19" i="3"/>
  <c r="AF19" i="3" s="1"/>
  <c r="AE21" i="3"/>
  <c r="AF6" i="3"/>
  <c r="AF9" i="3"/>
  <c r="AF11" i="3"/>
  <c r="AF13" i="3"/>
  <c r="AF15" i="3"/>
  <c r="AF17" i="3"/>
  <c r="AG20" i="3"/>
  <c r="AH20" i="3" s="1"/>
  <c r="AI20" i="3" s="1"/>
  <c r="AJ20" i="3" s="1"/>
  <c r="AK20" i="3" s="1"/>
  <c r="AR20" i="3" s="1"/>
  <c r="AF21" i="3"/>
  <c r="AG21" i="3" s="1"/>
  <c r="AH21" i="3" s="1"/>
  <c r="Y21" i="1"/>
  <c r="Z21" i="1"/>
  <c r="AL23" i="1"/>
  <c r="AL20" i="1"/>
  <c r="Z23" i="1"/>
  <c r="Y23" i="1"/>
  <c r="Z20" i="1"/>
  <c r="Y20" i="1"/>
  <c r="AG19" i="3" l="1"/>
  <c r="AH19" i="3" s="1"/>
  <c r="AI19" i="3" s="1"/>
  <c r="AJ19" i="3" s="1"/>
  <c r="AK19" i="3" s="1"/>
  <c r="AG16" i="3"/>
  <c r="AH16" i="3" s="1"/>
  <c r="AI16" i="3" s="1"/>
  <c r="AJ16" i="3" s="1"/>
  <c r="AK16" i="3" s="1"/>
  <c r="AG14" i="3"/>
  <c r="AH14" i="3" s="1"/>
  <c r="AI14" i="3" s="1"/>
  <c r="AJ14" i="3" s="1"/>
  <c r="AK14" i="3" s="1"/>
  <c r="AG12" i="3"/>
  <c r="AH12" i="3" s="1"/>
  <c r="AI12" i="3" s="1"/>
  <c r="AJ12" i="3" s="1"/>
  <c r="AK12" i="3" s="1"/>
  <c r="AG10" i="3"/>
  <c r="AH10" i="3" s="1"/>
  <c r="AI10" i="3" s="1"/>
  <c r="AJ10" i="3" s="1"/>
  <c r="AK10" i="3" s="1"/>
  <c r="AG7" i="3"/>
  <c r="AH7" i="3" s="1"/>
  <c r="AI7" i="3" s="1"/>
  <c r="AJ7" i="3" s="1"/>
  <c r="AK7" i="3" s="1"/>
  <c r="AG4" i="3"/>
  <c r="AH4" i="3" s="1"/>
  <c r="AI4" i="3" s="1"/>
  <c r="AJ4" i="3" s="1"/>
  <c r="AK4" i="3" s="1"/>
  <c r="AG17" i="3"/>
  <c r="AH17" i="3" s="1"/>
  <c r="AI17" i="3" s="1"/>
  <c r="AJ17" i="3" s="1"/>
  <c r="AK17" i="3" s="1"/>
  <c r="AG15" i="3"/>
  <c r="AH15" i="3" s="1"/>
  <c r="AI15" i="3" s="1"/>
  <c r="AJ15" i="3" s="1"/>
  <c r="AK15" i="3" s="1"/>
  <c r="AG13" i="3"/>
  <c r="AH13" i="3" s="1"/>
  <c r="AI13" i="3" s="1"/>
  <c r="AJ13" i="3" s="1"/>
  <c r="AK13" i="3" s="1"/>
  <c r="AG11" i="3"/>
  <c r="AH11" i="3" s="1"/>
  <c r="AI11" i="3" s="1"/>
  <c r="AJ11" i="3" s="1"/>
  <c r="AK11" i="3" s="1"/>
  <c r="AG9" i="3"/>
  <c r="AH9" i="3" s="1"/>
  <c r="AI9" i="3" s="1"/>
  <c r="AJ9" i="3" s="1"/>
  <c r="AK9" i="3" s="1"/>
  <c r="AG6" i="3"/>
  <c r="AH6" i="3" s="1"/>
  <c r="AI6" i="3" s="1"/>
  <c r="AJ6" i="3" s="1"/>
  <c r="AK6" i="3" s="1"/>
  <c r="AI21" i="3"/>
  <c r="AJ21" i="3" s="1"/>
  <c r="AK21" i="3" s="1"/>
  <c r="AA21" i="1"/>
  <c r="AB21" i="1" s="1"/>
  <c r="AC21" i="1" s="1"/>
  <c r="AD21" i="1" s="1"/>
  <c r="AE21" i="1" s="1"/>
  <c r="AF21" i="1" s="1"/>
  <c r="AG21" i="1" s="1"/>
  <c r="AN21" i="1" s="1"/>
  <c r="AA23" i="1"/>
  <c r="Z18" i="1"/>
  <c r="Y18" i="1"/>
  <c r="Z17" i="1"/>
  <c r="Y17" i="1"/>
  <c r="Z16" i="1"/>
  <c r="Y16" i="1"/>
  <c r="Z15" i="1"/>
  <c r="Y15" i="1"/>
  <c r="Z14" i="1"/>
  <c r="Y14" i="1"/>
  <c r="Z13" i="1"/>
  <c r="AA13" i="1" s="1"/>
  <c r="Y13" i="1"/>
  <c r="Z12" i="1"/>
  <c r="Y12" i="1"/>
  <c r="Z11" i="1"/>
  <c r="AA11" i="1" s="1"/>
  <c r="Y11" i="1"/>
  <c r="AA12" i="1" l="1"/>
  <c r="AU9" i="3"/>
  <c r="AR9" i="3"/>
  <c r="AU13" i="3"/>
  <c r="AR13" i="3"/>
  <c r="AU17" i="3"/>
  <c r="AR17" i="3"/>
  <c r="AU7" i="3"/>
  <c r="AR7" i="3"/>
  <c r="AU12" i="3"/>
  <c r="AR12" i="3"/>
  <c r="AU16" i="3"/>
  <c r="AR16" i="3"/>
  <c r="AU6" i="3"/>
  <c r="AR6" i="3"/>
  <c r="AU11" i="3"/>
  <c r="AR11" i="3"/>
  <c r="AU15" i="3"/>
  <c r="AR15" i="3"/>
  <c r="AU4" i="3"/>
  <c r="AR4" i="3"/>
  <c r="AU10" i="3"/>
  <c r="AR10" i="3"/>
  <c r="AU14" i="3"/>
  <c r="AR14" i="3"/>
  <c r="AU19" i="3"/>
  <c r="AR19" i="3"/>
  <c r="AU21" i="3"/>
  <c r="AR21" i="3"/>
  <c r="AS21" i="3" s="1"/>
  <c r="AT21" i="3" s="1"/>
  <c r="AA14" i="1"/>
  <c r="AA16" i="1"/>
  <c r="AA18" i="1"/>
  <c r="AB18" i="1" s="1"/>
  <c r="AC18" i="1" s="1"/>
  <c r="AD18" i="1" s="1"/>
  <c r="Z10" i="1"/>
  <c r="Y10" i="1"/>
  <c r="Z7" i="1"/>
  <c r="Y7" i="1"/>
  <c r="Z6" i="1"/>
  <c r="Y6" i="1"/>
  <c r="Z4" i="1"/>
  <c r="Y4" i="1"/>
  <c r="AR26" i="3" l="1"/>
  <c r="AS4" i="3"/>
  <c r="AT4" i="3" s="1"/>
  <c r="AS20" i="3"/>
  <c r="AT20" i="3" s="1"/>
  <c r="AS19" i="3"/>
  <c r="AT19" i="3" s="1"/>
  <c r="AS10" i="3"/>
  <c r="AT10" i="3" s="1"/>
  <c r="AS15" i="3"/>
  <c r="AT15" i="3" s="1"/>
  <c r="AS11" i="3"/>
  <c r="AT11" i="3" s="1"/>
  <c r="AS6" i="3"/>
  <c r="AT6" i="3" s="1"/>
  <c r="AS16" i="3"/>
  <c r="AT16" i="3" s="1"/>
  <c r="AS12" i="3"/>
  <c r="AT12" i="3" s="1"/>
  <c r="AS7" i="3"/>
  <c r="AT7" i="3" s="1"/>
  <c r="AS17" i="3"/>
  <c r="AT17" i="3" s="1"/>
  <c r="AS13" i="3"/>
  <c r="AT13" i="3" s="1"/>
  <c r="AS14" i="3"/>
  <c r="AT14" i="3" s="1"/>
  <c r="AS9" i="3"/>
  <c r="AT9" i="3" s="1"/>
  <c r="AA6" i="1"/>
  <c r="AA10" i="1"/>
  <c r="AA4" i="1" l="1"/>
  <c r="AB4" i="1" s="1"/>
  <c r="AA7" i="1"/>
  <c r="AB7" i="1" s="1"/>
  <c r="AC7" i="1" s="1"/>
  <c r="AD7" i="1" s="1"/>
  <c r="AB6" i="1"/>
  <c r="AC6" i="1" s="1"/>
  <c r="AD6" i="1" s="1"/>
  <c r="AB10" i="1"/>
  <c r="AC10" i="1" s="1"/>
  <c r="AD10" i="1" s="1"/>
  <c r="AE10" i="1" s="1"/>
  <c r="AF10" i="1" s="1"/>
  <c r="AG10" i="1" s="1"/>
  <c r="AN10" i="1" s="1"/>
  <c r="AB14" i="1"/>
  <c r="AC14" i="1" s="1"/>
  <c r="AD14" i="1" s="1"/>
  <c r="AE14" i="1" s="1"/>
  <c r="AF14" i="1" s="1"/>
  <c r="AG14" i="1" s="1"/>
  <c r="AN14" i="1" s="1"/>
  <c r="AA17" i="1"/>
  <c r="AB17" i="1" s="1"/>
  <c r="AA15" i="1"/>
  <c r="AB15" i="1" s="1"/>
  <c r="AE18" i="1"/>
  <c r="AF18" i="1" s="1"/>
  <c r="AG18" i="1" s="1"/>
  <c r="AN18" i="1" s="1"/>
  <c r="AB12" i="1"/>
  <c r="AC12" i="1" s="1"/>
  <c r="AD12" i="1" s="1"/>
  <c r="AB11" i="1"/>
  <c r="AC11" i="1" s="1"/>
  <c r="AD11" i="1" s="1"/>
  <c r="AB23" i="1"/>
  <c r="AC23" i="1" s="1"/>
  <c r="AD23" i="1" s="1"/>
  <c r="AB16" i="1"/>
  <c r="AC16" i="1" s="1"/>
  <c r="AD16" i="1" s="1"/>
  <c r="AE16" i="1" s="1"/>
  <c r="AF16" i="1" s="1"/>
  <c r="AG16" i="1" s="1"/>
  <c r="AN16" i="1" s="1"/>
  <c r="AB13" i="1"/>
  <c r="AC13" i="1" s="1"/>
  <c r="AD13" i="1" s="1"/>
  <c r="AE13" i="1" s="1"/>
  <c r="AF13" i="1" s="1"/>
  <c r="AG13" i="1" s="1"/>
  <c r="AN13" i="1" s="1"/>
  <c r="AA20" i="1"/>
  <c r="AB20" i="1" s="1"/>
  <c r="AC20" i="1" s="1"/>
  <c r="AD20" i="1" s="1"/>
  <c r="AE20" i="1" s="1"/>
  <c r="AF20" i="1" s="1"/>
  <c r="AG20" i="1" s="1"/>
  <c r="AN20" i="1" s="1"/>
  <c r="AR10" i="1" l="1"/>
  <c r="AR16" i="1"/>
  <c r="AR14" i="1"/>
  <c r="AR18" i="1"/>
  <c r="AR20" i="1"/>
  <c r="AR13" i="1"/>
  <c r="AC15" i="1"/>
  <c r="AD15" i="1" s="1"/>
  <c r="AE15" i="1" s="1"/>
  <c r="AF15" i="1" s="1"/>
  <c r="AG15" i="1" s="1"/>
  <c r="AN15" i="1" s="1"/>
  <c r="AC17" i="1"/>
  <c r="AD17" i="1" s="1"/>
  <c r="AE17" i="1" s="1"/>
  <c r="AF17" i="1" s="1"/>
  <c r="AG17" i="1" s="1"/>
  <c r="AN17" i="1" s="1"/>
  <c r="AC4" i="1"/>
  <c r="AD4" i="1" s="1"/>
  <c r="AE4" i="1" s="1"/>
  <c r="AF4" i="1" s="1"/>
  <c r="AG4" i="1" s="1"/>
  <c r="AN4" i="1" s="1"/>
  <c r="AE23" i="1"/>
  <c r="AF23" i="1" s="1"/>
  <c r="AG23" i="1" s="1"/>
  <c r="AN23" i="1" s="1"/>
  <c r="AE11" i="1"/>
  <c r="AF11" i="1" s="1"/>
  <c r="AG11" i="1" s="1"/>
  <c r="AN11" i="1" s="1"/>
  <c r="AE12" i="1"/>
  <c r="AF12" i="1" s="1"/>
  <c r="AG12" i="1" s="1"/>
  <c r="AN12" i="1" s="1"/>
  <c r="AE6" i="1"/>
  <c r="AF6" i="1" s="1"/>
  <c r="AG6" i="1" s="1"/>
  <c r="AN6" i="1" s="1"/>
  <c r="AE7" i="1"/>
  <c r="AF7" i="1" s="1"/>
  <c r="AG7" i="1" s="1"/>
  <c r="AN7" i="1" s="1"/>
  <c r="AO7" i="1" s="1"/>
  <c r="AN28" i="1" l="1"/>
  <c r="AO4" i="1"/>
  <c r="AO21" i="1"/>
  <c r="AO12" i="1"/>
  <c r="AO23" i="1"/>
  <c r="AO17" i="1"/>
  <c r="AO14" i="1"/>
  <c r="AO10" i="1"/>
  <c r="AO16" i="1"/>
  <c r="AO6" i="1"/>
  <c r="AO11" i="1"/>
  <c r="AO15" i="1"/>
  <c r="AO13" i="1"/>
  <c r="AO18" i="1"/>
  <c r="AO20" i="1"/>
  <c r="AR6" i="1"/>
  <c r="AR11" i="1"/>
  <c r="AR4" i="1"/>
  <c r="AR7" i="1"/>
  <c r="AR15" i="1"/>
  <c r="AR17" i="1"/>
  <c r="AR12" i="1"/>
  <c r="AR23" i="1"/>
  <c r="AP23" i="1"/>
  <c r="AP18" i="1" l="1"/>
  <c r="AP6" i="1"/>
  <c r="AP20" i="1"/>
  <c r="AP10" i="1"/>
  <c r="AP7" i="1"/>
  <c r="AP4" i="1"/>
  <c r="AP11" i="1"/>
  <c r="AP12" i="1"/>
  <c r="AP21" i="1"/>
  <c r="AP17" i="1"/>
  <c r="AP15" i="1"/>
  <c r="AP16" i="1"/>
  <c r="AP14" i="1"/>
  <c r="AP13" i="1"/>
</calcChain>
</file>

<file path=xl/sharedStrings.xml><?xml version="1.0" encoding="utf-8"?>
<sst xmlns="http://schemas.openxmlformats.org/spreadsheetml/2006/main" count="851" uniqueCount="166">
  <si>
    <t>Time</t>
  </si>
  <si>
    <t>Object</t>
  </si>
  <si>
    <t>Type</t>
  </si>
  <si>
    <t>Name</t>
  </si>
  <si>
    <t>Area of Sky Covered</t>
  </si>
  <si>
    <t>SAO</t>
  </si>
  <si>
    <t xml:space="preserve">HIP </t>
  </si>
  <si>
    <t>MAG 1</t>
  </si>
  <si>
    <t>MAG 2</t>
  </si>
  <si>
    <t>SEP (J2011)</t>
  </si>
  <si>
    <t>SEP (Stellarium)</t>
  </si>
  <si>
    <t>RA (J2000)</t>
  </si>
  <si>
    <t>Dec (J2000)</t>
  </si>
  <si>
    <t>Spectral Type</t>
  </si>
  <si>
    <t>Observation</t>
  </si>
  <si>
    <t>Notes</t>
  </si>
  <si>
    <t>-</t>
  </si>
  <si>
    <t>S</t>
  </si>
  <si>
    <t>Binary, Observing Plan #8</t>
  </si>
  <si>
    <t>Double</t>
  </si>
  <si>
    <t>e Gem</t>
  </si>
  <si>
    <t>33202A-B</t>
  </si>
  <si>
    <t>+</t>
  </si>
  <si>
    <t>F0Vp</t>
  </si>
  <si>
    <t>0.12s-20s: Photon Linearity; 5x5s: Stackables</t>
  </si>
  <si>
    <t>Andromeda Galaxy</t>
  </si>
  <si>
    <t>Deep-Field</t>
  </si>
  <si>
    <t>M31</t>
  </si>
  <si>
    <t>WNW</t>
  </si>
  <si>
    <t>5s, 15s, 20s, 120s</t>
  </si>
  <si>
    <t>Star</t>
  </si>
  <si>
    <t>Betelgeuse</t>
  </si>
  <si>
    <t>SW</t>
  </si>
  <si>
    <t>M2lb</t>
  </si>
  <si>
    <t>0.12s: Saturation</t>
  </si>
  <si>
    <t>Orion's Belt, R</t>
  </si>
  <si>
    <t>Mintaka</t>
  </si>
  <si>
    <t>25930A-C</t>
  </si>
  <si>
    <t>N/A</t>
  </si>
  <si>
    <t>O9.5II+</t>
  </si>
  <si>
    <t>0.12s, 5x1s</t>
  </si>
  <si>
    <t>Orion Nebula</t>
  </si>
  <si>
    <t>M42</t>
  </si>
  <si>
    <t>15x15s: Stackables</t>
  </si>
  <si>
    <t>Orion's Belt, M</t>
  </si>
  <si>
    <t>Alnilam</t>
  </si>
  <si>
    <t>B0Iab</t>
  </si>
  <si>
    <t>0.12s, 2s</t>
  </si>
  <si>
    <t>Aldebaran</t>
  </si>
  <si>
    <t>WSW</t>
  </si>
  <si>
    <t>K5III</t>
  </si>
  <si>
    <t>0.12s: Max. Observable Magnitude</t>
  </si>
  <si>
    <t>NE</t>
  </si>
  <si>
    <t>Plough #1</t>
  </si>
  <si>
    <t>Alkaid</t>
  </si>
  <si>
    <t>ENE</t>
  </si>
  <si>
    <t>B3V_SB</t>
  </si>
  <si>
    <t>3x0.25s</t>
  </si>
  <si>
    <t>Plough #2</t>
  </si>
  <si>
    <t>Mizar</t>
  </si>
  <si>
    <t>65378A-C</t>
  </si>
  <si>
    <t>A2V</t>
  </si>
  <si>
    <t>Plough #3</t>
  </si>
  <si>
    <t>Alioth</t>
  </si>
  <si>
    <t>A0p</t>
  </si>
  <si>
    <t>Plough #4</t>
  </si>
  <si>
    <t>Megrez</t>
  </si>
  <si>
    <t>A3Vvar</t>
  </si>
  <si>
    <t>Plough #5</t>
  </si>
  <si>
    <t>Phad</t>
  </si>
  <si>
    <t>A0V_SB</t>
  </si>
  <si>
    <t>Plough #6</t>
  </si>
  <si>
    <t>Merak</t>
  </si>
  <si>
    <t>A1V</t>
  </si>
  <si>
    <t>Plough #7</t>
  </si>
  <si>
    <t>Dubhe</t>
  </si>
  <si>
    <t>54061A-B</t>
  </si>
  <si>
    <t>F7V_comp</t>
  </si>
  <si>
    <t>Saturn</t>
  </si>
  <si>
    <t>Solar System</t>
  </si>
  <si>
    <t>SE</t>
  </si>
  <si>
    <t>0.12s, 5x0.5s, 1s</t>
  </si>
  <si>
    <t>07.03.11</t>
  </si>
  <si>
    <t>Pleiades Cluster</t>
  </si>
  <si>
    <t>Maia</t>
  </si>
  <si>
    <t>W</t>
  </si>
  <si>
    <t>B8III</t>
  </si>
  <si>
    <t>6x3s</t>
  </si>
  <si>
    <t>7x5s</t>
  </si>
  <si>
    <t>r', Observing Plan #2</t>
  </si>
  <si>
    <t>LHS 1858</t>
  </si>
  <si>
    <t>M1:</t>
  </si>
  <si>
    <t>5x60s</t>
  </si>
  <si>
    <t>SSE</t>
  </si>
  <si>
    <t>After Refocussing</t>
  </si>
  <si>
    <t>Variable #1 FOV</t>
  </si>
  <si>
    <t>Stars</t>
  </si>
  <si>
    <t>FOV</t>
  </si>
  <si>
    <t>NNW</t>
  </si>
  <si>
    <t>6x0.15s</t>
  </si>
  <si>
    <t>24.03.11</t>
  </si>
  <si>
    <t>Vmag</t>
  </si>
  <si>
    <t>B-V</t>
  </si>
  <si>
    <t>mag</t>
  </si>
  <si>
    <t>TOPCAT RA (Deg)</t>
  </si>
  <si>
    <t>TOPCAT Dec (Deg)</t>
  </si>
  <si>
    <t xml:space="preserve">Vmag &amp; RA/Dec data obtained from Stellarium (at 07.03.11), as varies rapidly for planets. </t>
  </si>
  <si>
    <t>r</t>
  </si>
  <si>
    <t>g</t>
  </si>
  <si>
    <t>R</t>
  </si>
  <si>
    <t>g-r</t>
  </si>
  <si>
    <t>r-i</t>
  </si>
  <si>
    <t>I</t>
  </si>
  <si>
    <t>R-I</t>
  </si>
  <si>
    <t>r'-i'</t>
  </si>
  <si>
    <t>r'-V</t>
  </si>
  <si>
    <t>All V &amp; B-V magnitudes obtained from HIP catalog, unless otherwise stated.</t>
  </si>
  <si>
    <t>All other magnitudes calculated using SDSS formulae.</t>
  </si>
  <si>
    <t>SDSS r' (can not compare as values given are for &gt;&gt; fainter sources v. nearby)</t>
  </si>
  <si>
    <t>Standard r' Star. Only source we have a specifically documented (i.e. without manually converting) r' value for. From Smith et al (Northern).</t>
  </si>
  <si>
    <t xml:space="preserve">r' mag </t>
  </si>
  <si>
    <t>instrumental</t>
  </si>
  <si>
    <t>r' mag</t>
  </si>
  <si>
    <t>corrected</t>
  </si>
  <si>
    <t>(Flux*k)</t>
  </si>
  <si>
    <t>Change in Flux, k</t>
  </si>
  <si>
    <t>Entire FOV</t>
  </si>
  <si>
    <t>Brightest star within M42 FOV</t>
  </si>
  <si>
    <t>26235N-E</t>
  </si>
  <si>
    <t>r' mag theoretical</t>
  </si>
  <si>
    <t>2s: Exceeded saturation limit</t>
  </si>
  <si>
    <t>Accuracy of</t>
  </si>
  <si>
    <t>calibrated</t>
  </si>
  <si>
    <t>r' mag calibrated</t>
  </si>
  <si>
    <t>Observed</t>
  </si>
  <si>
    <t>Date</t>
  </si>
  <si>
    <t>Average mag calibration factor:</t>
  </si>
  <si>
    <t>Entive FOV; no specific stars focussed on. May revisit later for individual stars.</t>
  </si>
  <si>
    <t>theoretical</t>
  </si>
  <si>
    <t>r' mag corrected (ADU &amp;</t>
  </si>
  <si>
    <t>quantum efficiency)</t>
  </si>
  <si>
    <t xml:space="preserve">r' mag corrected - </t>
  </si>
  <si>
    <t>-&gt; Due to variety of factors; e.g. Extinction coefficient, poor photometric conditions etc.</t>
  </si>
  <si>
    <r>
      <t xml:space="preserve">-&gt; The important thing is that the factor is </t>
    </r>
    <r>
      <rPr>
        <sz val="10"/>
        <color theme="1"/>
        <rFont val="Calibri"/>
        <family val="2"/>
      </rPr>
      <t xml:space="preserve">≈ </t>
    </r>
    <r>
      <rPr>
        <i/>
        <sz val="10"/>
        <color theme="1"/>
        <rFont val="Calibri"/>
        <family val="2"/>
        <scheme val="minor"/>
      </rPr>
      <t>constant (</t>
    </r>
    <r>
      <rPr>
        <sz val="10"/>
        <color theme="1"/>
        <rFont val="Calibri"/>
        <family val="2"/>
      </rPr>
      <t>±</t>
    </r>
    <r>
      <rPr>
        <i/>
        <sz val="10"/>
        <color theme="1"/>
        <rFont val="Calibri"/>
        <family val="2"/>
      </rPr>
      <t xml:space="preserve">10%) </t>
    </r>
    <r>
      <rPr>
        <i/>
        <sz val="10"/>
        <color theme="1"/>
        <rFont val="Calibri"/>
        <family val="2"/>
        <scheme val="minor"/>
      </rPr>
      <t>for every star measured.</t>
    </r>
  </si>
  <si>
    <t>Average</t>
  </si>
  <si>
    <t>FWHM (pixels)</t>
  </si>
  <si>
    <t>34.2arcmin/inch</t>
  </si>
  <si>
    <t>1.34arcmin/mm</t>
  </si>
  <si>
    <t>arcmin/length</t>
  </si>
  <si>
    <t>length: 6.89mm</t>
  </si>
  <si>
    <t>usual: 2-5 arcsec</t>
  </si>
  <si>
    <t>arcmin/pixel</t>
  </si>
  <si>
    <t>arcsec/pixel</t>
  </si>
  <si>
    <t>FWHM (arcsec)</t>
  </si>
  <si>
    <t>height: 4.59mm</t>
  </si>
  <si>
    <t>arcmin/height</t>
  </si>
  <si>
    <t>Altitude (deg)</t>
  </si>
  <si>
    <t>Azimuth (deg)</t>
  </si>
  <si>
    <t>Average FITS</t>
  </si>
  <si>
    <t>Header Time</t>
  </si>
  <si>
    <t>5x0.12s</t>
  </si>
  <si>
    <t>Saturn &amp; r' had high seeing values, due to tracking/object shape errors.</t>
  </si>
  <si>
    <t>Saturn's seeing not included here, as value &gt;20arcsec.</t>
  </si>
  <si>
    <t>Variable star within M42 FOV</t>
  </si>
  <si>
    <t>6x15s</t>
  </si>
  <si>
    <t>Average Airmass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</si>
</sst>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#"/>
    <numFmt numFmtId="165" formatCode="0#.0"/>
    <numFmt numFmtId="166" formatCode="00#"/>
    <numFmt numFmtId="167" formatCode="0.0"/>
    <numFmt numFmtId="168" formatCode="00#.0"/>
    <numFmt numFmtId="169" formatCode="0.00000000"/>
    <numFmt numFmtId="170" formatCode="0.000"/>
    <numFmt numFmtId="171" formatCode="0.0000"/>
    <numFmt numFmtId="172" formatCode="[$-F400]h:mm:ss\ AM/PM"/>
  </numFmts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5C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20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0" fillId="0" borderId="0" xfId="0" applyNumberFormat="1" applyFill="1" applyBorder="1"/>
    <xf numFmtId="166" fontId="0" fillId="0" borderId="0" xfId="0" applyNumberFormat="1" applyFill="1" applyBorder="1"/>
    <xf numFmtId="168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9" fontId="0" fillId="0" borderId="0" xfId="0" applyNumberFormat="1" applyFill="1" applyBorder="1"/>
    <xf numFmtId="169" fontId="0" fillId="0" borderId="0" xfId="0" applyNumberFormat="1"/>
    <xf numFmtId="0" fontId="0" fillId="0" borderId="0" xfId="0"/>
    <xf numFmtId="170" fontId="0" fillId="0" borderId="0" xfId="0" applyNumberFormat="1"/>
    <xf numFmtId="165" fontId="0" fillId="2" borderId="0" xfId="0" applyNumberFormat="1" applyFill="1" applyBorder="1"/>
    <xf numFmtId="0" fontId="0" fillId="2" borderId="0" xfId="0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/>
    <xf numFmtId="171" fontId="2" fillId="0" borderId="0" xfId="0" applyNumberFormat="1" applyFont="1"/>
    <xf numFmtId="171" fontId="0" fillId="0" borderId="0" xfId="0" applyNumberFormat="1"/>
    <xf numFmtId="171" fontId="0" fillId="0" borderId="0" xfId="0" applyNumberFormat="1" applyFill="1" applyBorder="1"/>
    <xf numFmtId="0" fontId="1" fillId="0" borderId="0" xfId="0" applyFont="1"/>
    <xf numFmtId="171" fontId="1" fillId="0" borderId="0" xfId="0" applyNumberFormat="1" applyFont="1"/>
    <xf numFmtId="171" fontId="1" fillId="0" borderId="0" xfId="0" applyNumberFormat="1" applyFont="1" applyFill="1" applyBorder="1"/>
    <xf numFmtId="171" fontId="4" fillId="0" borderId="0" xfId="0" applyNumberFormat="1" applyFont="1"/>
    <xf numFmtId="0" fontId="5" fillId="0" borderId="0" xfId="0" applyFont="1" applyFill="1" applyBorder="1"/>
    <xf numFmtId="171" fontId="6" fillId="0" borderId="0" xfId="0" applyNumberFormat="1" applyFont="1"/>
    <xf numFmtId="0" fontId="5" fillId="0" borderId="0" xfId="0" applyFont="1"/>
    <xf numFmtId="171" fontId="1" fillId="0" borderId="3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/>
    <xf numFmtId="0" fontId="1" fillId="0" borderId="2" xfId="0" applyFont="1" applyFill="1" applyBorder="1" applyAlignment="1"/>
    <xf numFmtId="0" fontId="7" fillId="0" borderId="0" xfId="0" quotePrefix="1" applyFont="1" applyFill="1" applyBorder="1" applyAlignment="1"/>
    <xf numFmtId="0" fontId="0" fillId="0" borderId="0" xfId="0" applyFill="1" applyBorder="1" applyAlignment="1">
      <alignment horizontal="center"/>
    </xf>
    <xf numFmtId="20" fontId="2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71" fontId="0" fillId="0" borderId="0" xfId="0" applyNumberFormat="1" applyFont="1"/>
    <xf numFmtId="171" fontId="0" fillId="0" borderId="0" xfId="0" applyNumberFormat="1" applyFont="1" applyFill="1" applyBorder="1"/>
    <xf numFmtId="0" fontId="0" fillId="0" borderId="0" xfId="0" applyFill="1" applyBorder="1"/>
    <xf numFmtId="0" fontId="0" fillId="0" borderId="0" xfId="0"/>
    <xf numFmtId="0" fontId="0" fillId="0" borderId="0" xfId="0" applyFill="1" applyBorder="1"/>
    <xf numFmtId="172" fontId="0" fillId="0" borderId="0" xfId="0" applyNumberFormat="1" applyFill="1" applyBorder="1"/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4" xfId="0" applyFill="1" applyBorder="1"/>
    <xf numFmtId="20" fontId="0" fillId="0" borderId="4" xfId="0" applyNumberFormat="1" applyFill="1" applyBorder="1"/>
    <xf numFmtId="2" fontId="0" fillId="0" borderId="4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165" fontId="0" fillId="0" borderId="4" xfId="0" applyNumberFormat="1" applyFill="1" applyBorder="1"/>
    <xf numFmtId="0" fontId="0" fillId="0" borderId="4" xfId="0" applyBorder="1"/>
    <xf numFmtId="171" fontId="2" fillId="0" borderId="4" xfId="0" applyNumberFormat="1" applyFont="1" applyBorder="1"/>
    <xf numFmtId="0" fontId="0" fillId="0" borderId="4" xfId="0" applyFont="1" applyBorder="1"/>
    <xf numFmtId="171" fontId="1" fillId="0" borderId="4" xfId="0" applyNumberFormat="1" applyFont="1" applyBorder="1"/>
    <xf numFmtId="171" fontId="6" fillId="0" borderId="4" xfId="0" applyNumberFormat="1" applyFont="1" applyBorder="1"/>
    <xf numFmtId="171" fontId="4" fillId="0" borderId="4" xfId="0" applyNumberFormat="1" applyFont="1" applyBorder="1"/>
    <xf numFmtId="0" fontId="1" fillId="0" borderId="4" xfId="0" applyFont="1" applyFill="1" applyBorder="1"/>
    <xf numFmtId="170" fontId="0" fillId="0" borderId="4" xfId="0" applyNumberFormat="1" applyBorder="1"/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72" fontId="0" fillId="0" borderId="4" xfId="0" applyNumberFormat="1" applyFill="1" applyBorder="1"/>
    <xf numFmtId="171" fontId="0" fillId="0" borderId="4" xfId="0" applyNumberFormat="1" applyFont="1" applyBorder="1"/>
    <xf numFmtId="0" fontId="2" fillId="0" borderId="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5C5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1"/>
  <sheetViews>
    <sheetView tabSelected="1" workbookViewId="0">
      <pane ySplit="3" topLeftCell="A4" activePane="bottomLeft" state="frozen"/>
      <selection pane="bottomLeft"/>
    </sheetView>
  </sheetViews>
  <sheetFormatPr defaultColWidth="9.109375" defaultRowHeight="15.05" x14ac:dyDescent="0.3"/>
  <cols>
    <col min="1" max="1" width="9.5546875" style="6" bestFit="1" customWidth="1"/>
    <col min="2" max="2" width="5.5546875" style="6" bestFit="1" customWidth="1"/>
    <col min="3" max="3" width="23.6640625" style="6" bestFit="1" customWidth="1"/>
    <col min="4" max="4" width="12.33203125" style="6" bestFit="1" customWidth="1"/>
    <col min="5" max="5" width="11" style="6" bestFit="1" customWidth="1"/>
    <col min="6" max="6" width="6.109375" style="6" hidden="1" customWidth="1"/>
    <col min="7" max="7" width="3" style="6" hidden="1" customWidth="1"/>
    <col min="8" max="8" width="7" style="6" hidden="1" customWidth="1"/>
    <col min="9" max="9" width="9.109375" style="6"/>
    <col min="10" max="11" width="6.6640625" style="6" hidden="1" customWidth="1"/>
    <col min="12" max="12" width="10.6640625" style="6" hidden="1" customWidth="1"/>
    <col min="13" max="13" width="15.33203125" style="6" hidden="1" customWidth="1"/>
    <col min="14" max="15" width="3" style="6" hidden="1" customWidth="1"/>
    <col min="16" max="16" width="4.5546875" style="6" hidden="1" customWidth="1"/>
    <col min="17" max="17" width="2" style="6" hidden="1" customWidth="1"/>
    <col min="18" max="19" width="3" style="6" hidden="1" customWidth="1"/>
    <col min="20" max="20" width="5.5546875" style="6" hidden="1" customWidth="1"/>
    <col min="21" max="21" width="16.33203125" style="6" hidden="1" customWidth="1"/>
    <col min="22" max="22" width="17.33203125" style="6" hidden="1" customWidth="1"/>
    <col min="23" max="23" width="6" style="6" bestFit="1" customWidth="1"/>
    <col min="24" max="24" width="6.6640625" style="6" bestFit="1" customWidth="1"/>
    <col min="25" max="25" width="6.6640625" style="6" customWidth="1"/>
    <col min="26" max="32" width="6.6640625" style="6" hidden="1" customWidth="1"/>
    <col min="33" max="33" width="10.6640625" style="6" bestFit="1" customWidth="1"/>
    <col min="34" max="35" width="8.109375" style="18" hidden="1" customWidth="1"/>
    <col min="36" max="36" width="12.6640625" style="20" bestFit="1" customWidth="1"/>
    <col min="37" max="37" width="16.44140625" style="20" hidden="1" customWidth="1"/>
    <col min="38" max="38" width="12.6640625" style="20" hidden="1" customWidth="1"/>
    <col min="39" max="39" width="23.109375" style="20" bestFit="1" customWidth="1"/>
    <col min="40" max="40" width="20.5546875" style="20" bestFit="1" customWidth="1"/>
    <col min="41" max="41" width="12.6640625" style="20" customWidth="1"/>
    <col min="42" max="42" width="17.5546875" style="20" bestFit="1" customWidth="1"/>
    <col min="43" max="43" width="17.5546875" style="20" hidden="1" customWidth="1"/>
    <col min="44" max="44" width="6.33203125" style="6" bestFit="1" customWidth="1"/>
    <col min="45" max="45" width="12.88671875" style="6" bestFit="1" customWidth="1"/>
    <col min="46" max="46" width="40.6640625" style="6" bestFit="1" customWidth="1"/>
    <col min="47" max="47" width="81.5546875" style="6" bestFit="1" customWidth="1"/>
    <col min="48" max="16384" width="9.109375" style="6"/>
  </cols>
  <sheetData>
    <row r="1" spans="1:65" x14ac:dyDescent="0.3">
      <c r="A1" s="6" t="s">
        <v>135</v>
      </c>
      <c r="B1" s="6" t="s">
        <v>0</v>
      </c>
      <c r="C1" s="6" t="s">
        <v>1</v>
      </c>
      <c r="D1" s="6" t="s">
        <v>2</v>
      </c>
      <c r="E1" s="6" t="s">
        <v>3</v>
      </c>
      <c r="F1" s="61" t="s">
        <v>4</v>
      </c>
      <c r="G1" s="61"/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1" t="s">
        <v>11</v>
      </c>
      <c r="O1" s="61"/>
      <c r="P1" s="61"/>
      <c r="Q1" s="61" t="s">
        <v>12</v>
      </c>
      <c r="R1" s="61"/>
      <c r="S1" s="61"/>
      <c r="T1" s="61"/>
      <c r="U1" s="10" t="s">
        <v>104</v>
      </c>
      <c r="V1" s="10" t="s">
        <v>105</v>
      </c>
      <c r="W1" s="13" t="s">
        <v>101</v>
      </c>
      <c r="X1" s="13" t="s">
        <v>102</v>
      </c>
      <c r="Y1" s="13" t="s">
        <v>107</v>
      </c>
      <c r="Z1" s="13" t="s">
        <v>108</v>
      </c>
      <c r="AA1" s="13" t="s">
        <v>110</v>
      </c>
      <c r="AB1" s="13" t="s">
        <v>109</v>
      </c>
      <c r="AC1" s="13" t="s">
        <v>111</v>
      </c>
      <c r="AD1" s="6" t="s">
        <v>112</v>
      </c>
      <c r="AE1" s="6" t="s">
        <v>113</v>
      </c>
      <c r="AF1" s="6" t="s">
        <v>114</v>
      </c>
      <c r="AG1" s="17" t="s">
        <v>122</v>
      </c>
      <c r="AH1" s="6" t="s">
        <v>118</v>
      </c>
      <c r="AI1" s="6" t="s">
        <v>119</v>
      </c>
      <c r="AJ1" s="20" t="s">
        <v>120</v>
      </c>
      <c r="AK1" s="20" t="s">
        <v>125</v>
      </c>
      <c r="AL1" s="20" t="s">
        <v>122</v>
      </c>
      <c r="AM1" s="20" t="s">
        <v>139</v>
      </c>
      <c r="AN1" s="20" t="s">
        <v>141</v>
      </c>
      <c r="AO1" s="28" t="s">
        <v>122</v>
      </c>
      <c r="AP1" s="20" t="s">
        <v>131</v>
      </c>
      <c r="AQ1" s="20" t="s">
        <v>165</v>
      </c>
      <c r="AR1" s="6" t="s">
        <v>115</v>
      </c>
      <c r="AS1" s="2" t="s">
        <v>13</v>
      </c>
      <c r="AT1" s="6" t="s">
        <v>14</v>
      </c>
      <c r="AU1" s="6" t="s">
        <v>15</v>
      </c>
      <c r="AX1" s="64" t="s">
        <v>116</v>
      </c>
      <c r="AY1" s="64"/>
      <c r="AZ1" s="64"/>
      <c r="BA1" s="64"/>
      <c r="BB1" s="64"/>
      <c r="BC1" s="64"/>
      <c r="BD1" s="64"/>
      <c r="BE1" s="64"/>
    </row>
    <row r="2" spans="1:65" x14ac:dyDescent="0.3">
      <c r="A2" s="6" t="s">
        <v>134</v>
      </c>
      <c r="C2" s="43"/>
      <c r="F2" s="2"/>
      <c r="G2" s="2"/>
      <c r="N2" s="2"/>
      <c r="O2" s="2"/>
      <c r="P2" s="2"/>
      <c r="Q2" s="2"/>
      <c r="R2" s="2"/>
      <c r="S2" s="2"/>
      <c r="T2" s="2"/>
      <c r="U2" s="10"/>
      <c r="V2" s="10"/>
      <c r="W2" s="13" t="s">
        <v>103</v>
      </c>
      <c r="X2" s="13" t="s">
        <v>103</v>
      </c>
      <c r="Y2" s="13" t="s">
        <v>103</v>
      </c>
      <c r="Z2" s="13" t="s">
        <v>103</v>
      </c>
      <c r="AA2" s="13" t="s">
        <v>103</v>
      </c>
      <c r="AB2" s="13" t="s">
        <v>103</v>
      </c>
      <c r="AC2" s="13" t="s">
        <v>103</v>
      </c>
      <c r="AD2" s="6" t="s">
        <v>103</v>
      </c>
      <c r="AE2" s="6" t="s">
        <v>103</v>
      </c>
      <c r="AF2" s="6" t="s">
        <v>103</v>
      </c>
      <c r="AG2" s="17" t="s">
        <v>138</v>
      </c>
      <c r="AH2" s="6" t="s">
        <v>103</v>
      </c>
      <c r="AI2" s="6" t="s">
        <v>103</v>
      </c>
      <c r="AJ2" s="20" t="s">
        <v>121</v>
      </c>
      <c r="AK2" s="20" t="s">
        <v>124</v>
      </c>
      <c r="AL2" s="20" t="s">
        <v>123</v>
      </c>
      <c r="AM2" s="20" t="s">
        <v>140</v>
      </c>
      <c r="AN2" s="20" t="s">
        <v>129</v>
      </c>
      <c r="AO2" s="28" t="s">
        <v>132</v>
      </c>
      <c r="AP2" s="20" t="s">
        <v>133</v>
      </c>
      <c r="AR2" s="6" t="s">
        <v>103</v>
      </c>
      <c r="AS2" s="2"/>
      <c r="AX2" s="64" t="s">
        <v>117</v>
      </c>
      <c r="AY2" s="64"/>
      <c r="AZ2" s="64"/>
      <c r="BA2" s="64"/>
      <c r="BB2" s="64"/>
      <c r="BC2" s="64"/>
    </row>
    <row r="3" spans="1:65" x14ac:dyDescent="0.3">
      <c r="F3" s="10"/>
      <c r="G3" s="10"/>
      <c r="N3" s="10"/>
      <c r="O3" s="10"/>
      <c r="P3" s="10"/>
      <c r="Q3" s="10"/>
      <c r="R3" s="10"/>
      <c r="S3" s="10"/>
      <c r="T3" s="10"/>
      <c r="U3" s="10"/>
      <c r="V3" s="10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9"/>
      <c r="AI3" s="19"/>
      <c r="AJ3" s="24"/>
      <c r="AK3" s="24"/>
      <c r="AL3" s="24"/>
      <c r="AM3" s="24"/>
      <c r="AN3" s="24"/>
      <c r="AO3" s="30"/>
      <c r="AP3" s="24"/>
      <c r="AQ3" s="24"/>
      <c r="AR3" s="13"/>
      <c r="AS3" s="10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</row>
    <row r="4" spans="1:65" x14ac:dyDescent="0.3">
      <c r="A4" s="6" t="s">
        <v>82</v>
      </c>
      <c r="B4" s="1">
        <v>0.83333333333333337</v>
      </c>
      <c r="C4" s="1" t="s">
        <v>18</v>
      </c>
      <c r="D4" s="1" t="s">
        <v>19</v>
      </c>
      <c r="E4" s="6" t="s">
        <v>20</v>
      </c>
      <c r="F4" s="6" t="s">
        <v>17</v>
      </c>
      <c r="G4" s="6">
        <v>47</v>
      </c>
      <c r="H4" s="6">
        <v>96265</v>
      </c>
      <c r="I4" s="6" t="s">
        <v>21</v>
      </c>
      <c r="J4" s="7">
        <v>4.79</v>
      </c>
      <c r="K4" s="7">
        <v>7.8</v>
      </c>
      <c r="L4" s="3">
        <v>7.2</v>
      </c>
      <c r="M4" s="7">
        <v>6.28</v>
      </c>
      <c r="N4" s="8">
        <v>6</v>
      </c>
      <c r="O4" s="8">
        <v>54</v>
      </c>
      <c r="P4" s="9">
        <v>38.9</v>
      </c>
      <c r="Q4" s="6" t="s">
        <v>22</v>
      </c>
      <c r="R4" s="8">
        <v>13</v>
      </c>
      <c r="S4" s="8">
        <v>10</v>
      </c>
      <c r="T4" s="9">
        <v>34</v>
      </c>
      <c r="U4">
        <v>103.66098292</v>
      </c>
      <c r="V4">
        <v>13.177827219999999</v>
      </c>
      <c r="W4" s="13">
        <v>4.7300000000000004</v>
      </c>
      <c r="X4" s="13">
        <v>0.32100000000000001</v>
      </c>
      <c r="Y4" s="13">
        <f>(W4-(0.42*X4))+0.11</f>
        <v>4.7051800000000004</v>
      </c>
      <c r="Z4" s="13">
        <f>(W4+(0.6*X4))-0.13</f>
        <v>4.7926000000000002</v>
      </c>
      <c r="AA4" s="13">
        <f>Z4-Y4</f>
        <v>8.7419999999999831E-2</v>
      </c>
      <c r="AB4" s="13">
        <f>Y4-(0.1837*AA4)-0.0971</f>
        <v>4.5920209459999999</v>
      </c>
      <c r="AC4" s="13">
        <f>(Y4-0.1439-AB4)/0.2936</f>
        <v>-0.1047034945504083</v>
      </c>
      <c r="AD4" s="13">
        <f>Y4-(1.2444*AC4)-0.382</f>
        <v>4.4534730286185287</v>
      </c>
      <c r="AE4" s="13">
        <f>-AB4-AD4</f>
        <v>-9.0454939746185286</v>
      </c>
      <c r="AF4" s="13">
        <f>(1.07*AE4)-0.228</f>
        <v>-9.9066785528418251</v>
      </c>
      <c r="AG4" s="21">
        <f>Y4-(0.035*(AF4-0.21))</f>
        <v>5.0592637493494639</v>
      </c>
      <c r="AH4" s="19"/>
      <c r="AI4" s="19"/>
      <c r="AJ4" s="25">
        <v>9.2993199999999998</v>
      </c>
      <c r="AK4" s="25"/>
      <c r="AL4" s="25"/>
      <c r="AM4" s="25">
        <f>AJ4-(LOG(2.3*(5/3),2.5))</f>
        <v>7.8328261242487329</v>
      </c>
      <c r="AN4" s="25">
        <f>AM4-AG4</f>
        <v>2.773562374899269</v>
      </c>
      <c r="AO4" s="29">
        <f>AM4-(AVERAGE(IF($AN$4:$AN$25&gt;0,$AN$4:$AN$25)))</f>
        <v>4.7963788008925503</v>
      </c>
      <c r="AP4" s="27">
        <f>ABS(AO4-AG4)</f>
        <v>0.26288494845691357</v>
      </c>
      <c r="AQ4" s="20">
        <v>1.2753165502200241</v>
      </c>
      <c r="AR4" s="14">
        <f>AG4-W4</f>
        <v>0.32926374934946345</v>
      </c>
      <c r="AS4" s="16" t="s">
        <v>23</v>
      </c>
      <c r="AT4" s="6" t="s">
        <v>24</v>
      </c>
      <c r="AU4" s="6" t="s">
        <v>19</v>
      </c>
    </row>
    <row r="5" spans="1:65" x14ac:dyDescent="0.3">
      <c r="A5" s="6" t="s">
        <v>82</v>
      </c>
      <c r="B5" s="1">
        <v>0.85416666666666663</v>
      </c>
      <c r="C5" s="6" t="s">
        <v>25</v>
      </c>
      <c r="D5" s="6" t="s">
        <v>26</v>
      </c>
      <c r="E5" s="6" t="s">
        <v>27</v>
      </c>
      <c r="F5" s="6" t="s">
        <v>28</v>
      </c>
      <c r="G5" s="6">
        <v>25</v>
      </c>
      <c r="H5" s="6" t="s">
        <v>16</v>
      </c>
      <c r="I5" s="6" t="s">
        <v>16</v>
      </c>
      <c r="J5" s="7">
        <v>3.5</v>
      </c>
      <c r="K5" s="7" t="s">
        <v>16</v>
      </c>
      <c r="L5" s="3" t="s">
        <v>16</v>
      </c>
      <c r="M5" s="7" t="s">
        <v>16</v>
      </c>
      <c r="N5" s="4">
        <v>0</v>
      </c>
      <c r="O5" s="8">
        <v>42</v>
      </c>
      <c r="P5" s="9">
        <v>42</v>
      </c>
      <c r="Q5" s="6" t="s">
        <v>22</v>
      </c>
      <c r="R5" s="8">
        <v>41</v>
      </c>
      <c r="S5" s="8">
        <v>16</v>
      </c>
      <c r="T5" s="5">
        <v>0</v>
      </c>
      <c r="U5">
        <v>10.684708329999999</v>
      </c>
      <c r="V5">
        <v>41.268749999999997</v>
      </c>
      <c r="W5" s="6" t="s">
        <v>16</v>
      </c>
      <c r="X5" s="6" t="s">
        <v>16</v>
      </c>
      <c r="Y5" s="13"/>
      <c r="Z5" s="13"/>
      <c r="AA5" s="13"/>
      <c r="AB5" s="13"/>
      <c r="AC5" s="13"/>
      <c r="AD5" s="13"/>
      <c r="AE5" s="13"/>
      <c r="AF5" s="13"/>
      <c r="AG5" s="21"/>
      <c r="AH5" s="19"/>
      <c r="AI5" s="19"/>
      <c r="AJ5" s="25"/>
      <c r="AK5" s="25"/>
      <c r="AL5" s="25"/>
      <c r="AM5" s="25"/>
      <c r="AN5" s="25"/>
      <c r="AO5" s="29"/>
      <c r="AP5" s="27"/>
      <c r="AS5" s="6" t="s">
        <v>16</v>
      </c>
      <c r="AT5" s="6" t="s">
        <v>29</v>
      </c>
    </row>
    <row r="6" spans="1:65" x14ac:dyDescent="0.3">
      <c r="A6" s="6" t="s">
        <v>82</v>
      </c>
      <c r="B6" s="1">
        <v>0.86805555555555547</v>
      </c>
      <c r="C6" s="6" t="s">
        <v>16</v>
      </c>
      <c r="D6" s="6" t="s">
        <v>30</v>
      </c>
      <c r="E6" s="6" t="s">
        <v>31</v>
      </c>
      <c r="F6" s="6" t="s">
        <v>32</v>
      </c>
      <c r="G6" s="6">
        <v>41</v>
      </c>
      <c r="H6" s="6">
        <v>113271</v>
      </c>
      <c r="I6" s="6">
        <v>27989</v>
      </c>
      <c r="J6" s="7">
        <v>0.45</v>
      </c>
      <c r="K6" s="7" t="s">
        <v>16</v>
      </c>
      <c r="L6" s="3" t="s">
        <v>16</v>
      </c>
      <c r="M6" s="7" t="s">
        <v>16</v>
      </c>
      <c r="N6" s="8">
        <v>5</v>
      </c>
      <c r="O6" s="8">
        <v>55</v>
      </c>
      <c r="P6" s="9">
        <v>10.3</v>
      </c>
      <c r="Q6" s="6" t="s">
        <v>22</v>
      </c>
      <c r="R6" s="8">
        <v>7</v>
      </c>
      <c r="S6" s="8">
        <v>24</v>
      </c>
      <c r="T6" s="9">
        <v>25.5</v>
      </c>
      <c r="U6" s="13">
        <v>88.792938750000005</v>
      </c>
      <c r="V6" s="13">
        <v>7.4070627800000004</v>
      </c>
      <c r="W6" s="13">
        <v>0.45</v>
      </c>
      <c r="X6" s="13">
        <v>1.5</v>
      </c>
      <c r="Y6" s="13">
        <f>(W6-(0.42*X6))+0.11</f>
        <v>-6.9999999999999993E-2</v>
      </c>
      <c r="Z6" s="13">
        <f>(W6+(0.6*X6))-0.13</f>
        <v>1.2199999999999998</v>
      </c>
      <c r="AA6" s="13">
        <f>Z6-Y6</f>
        <v>1.2899999999999998</v>
      </c>
      <c r="AB6" s="13">
        <f>Y6-(0.1837*AA6)-0.0971</f>
        <v>-0.40407299999999996</v>
      </c>
      <c r="AC6" s="13">
        <f>(Y6-0.1439-AB6)/0.2936</f>
        <v>0.64772820163487721</v>
      </c>
      <c r="AD6" s="13">
        <f>Y6-(1.2444*AC6)-0.382</f>
        <v>-1.2580329741144411</v>
      </c>
      <c r="AE6" s="13">
        <f>-AB6-AD6</f>
        <v>1.6621059741144411</v>
      </c>
      <c r="AF6" s="13">
        <f>(1.07*AE6)-0.228</f>
        <v>1.5504533923024522</v>
      </c>
      <c r="AG6" s="21">
        <f>Y6-(0.035*(AF6-0.21))</f>
        <v>-0.11691586873058582</v>
      </c>
      <c r="AH6" s="19"/>
      <c r="AI6" s="19"/>
      <c r="AJ6" s="25">
        <v>4.5811500000000001</v>
      </c>
      <c r="AK6" s="25"/>
      <c r="AL6" s="25"/>
      <c r="AM6" s="25">
        <f t="shared" ref="AM6:AM23" si="0">AJ6-(LOG(2.3*(5/3),2.5))</f>
        <v>3.1146561242487332</v>
      </c>
      <c r="AN6" s="25">
        <f t="shared" ref="AN6:AN23" si="1">AM6-AG6</f>
        <v>3.231571992979319</v>
      </c>
      <c r="AO6" s="29">
        <f>AM6-(AVERAGE(IF($AN$4:$AN$25&gt;0,$AN$4:$AN$25)))</f>
        <v>7.8208800892550556E-2</v>
      </c>
      <c r="AP6" s="27">
        <f>ABS(AO6-AG6)</f>
        <v>0.19512466962313638</v>
      </c>
      <c r="AQ6" s="20">
        <v>1.5280048527280483</v>
      </c>
      <c r="AR6" s="14">
        <f>AG6-W6</f>
        <v>-0.56691586873058586</v>
      </c>
      <c r="AS6" s="15" t="s">
        <v>33</v>
      </c>
      <c r="AT6" s="6" t="s">
        <v>34</v>
      </c>
    </row>
    <row r="7" spans="1:65" x14ac:dyDescent="0.3">
      <c r="A7" s="6" t="s">
        <v>82</v>
      </c>
      <c r="B7" s="1">
        <v>0.875</v>
      </c>
      <c r="C7" s="6" t="s">
        <v>35</v>
      </c>
      <c r="D7" s="1" t="s">
        <v>19</v>
      </c>
      <c r="E7" s="6" t="s">
        <v>36</v>
      </c>
      <c r="F7" s="6" t="s">
        <v>32</v>
      </c>
      <c r="G7" s="6">
        <v>31</v>
      </c>
      <c r="H7" s="6">
        <v>132220</v>
      </c>
      <c r="I7" s="6" t="s">
        <v>37</v>
      </c>
      <c r="J7" s="7">
        <v>2.41</v>
      </c>
      <c r="K7" s="7">
        <v>3.76</v>
      </c>
      <c r="L7" s="3">
        <v>0.3</v>
      </c>
      <c r="M7" s="7" t="s">
        <v>38</v>
      </c>
      <c r="N7" s="8">
        <v>5</v>
      </c>
      <c r="O7" s="8">
        <v>32</v>
      </c>
      <c r="P7" s="9">
        <v>0.4</v>
      </c>
      <c r="Q7" s="6" t="s">
        <v>16</v>
      </c>
      <c r="R7" s="4">
        <v>0</v>
      </c>
      <c r="S7" s="8">
        <v>17</v>
      </c>
      <c r="T7" s="9">
        <v>56.7</v>
      </c>
      <c r="U7" s="13">
        <v>83.001669579999998</v>
      </c>
      <c r="V7" s="13">
        <v>-0.29909194</v>
      </c>
      <c r="W7" s="13">
        <v>2.25</v>
      </c>
      <c r="X7" s="13">
        <v>-0.17499999999999999</v>
      </c>
      <c r="Y7" s="13">
        <f>(W7-(0.42*X7))+0.11</f>
        <v>2.4335</v>
      </c>
      <c r="Z7" s="13">
        <f>(W7+(0.6*X7))-0.13</f>
        <v>2.0150000000000001</v>
      </c>
      <c r="AA7" s="13">
        <f>Z7-Y7</f>
        <v>-0.41849999999999987</v>
      </c>
      <c r="AB7" s="13">
        <f>Y7-(0.1837*AA7)-0.0971</f>
        <v>2.41327845</v>
      </c>
      <c r="AC7" s="13">
        <f>(Y7-0.1439-AB7)/0.2936</f>
        <v>-0.42124812670299683</v>
      </c>
      <c r="AD7" s="13">
        <f>Y7-(1.2444*AC7)-0.382</f>
        <v>2.5757011688692093</v>
      </c>
      <c r="AE7" s="13">
        <f>-AB7-AD7</f>
        <v>-4.9889796188692088</v>
      </c>
      <c r="AF7" s="13">
        <f>(1.07*AE7)-0.228</f>
        <v>-5.5662081921900537</v>
      </c>
      <c r="AG7" s="21">
        <f>Y7-(0.035*(AF7-0.21))</f>
        <v>2.635667286726652</v>
      </c>
      <c r="AH7" s="19"/>
      <c r="AI7" s="19"/>
      <c r="AJ7" s="25">
        <v>7.2725</v>
      </c>
      <c r="AK7" s="25"/>
      <c r="AL7" s="25"/>
      <c r="AM7" s="25">
        <f t="shared" si="0"/>
        <v>5.8060061242487331</v>
      </c>
      <c r="AN7" s="25">
        <f t="shared" si="1"/>
        <v>3.1703388375220811</v>
      </c>
      <c r="AO7" s="29">
        <f>AM7-(AVERAGE(IF($AN$4:$AN$25&gt;0,$AN$4:$AN$25)))</f>
        <v>2.7695588008925505</v>
      </c>
      <c r="AP7" s="27">
        <f>ABS(AO7-AG7)</f>
        <v>0.13389151416589851</v>
      </c>
      <c r="AQ7" s="20">
        <v>1.9587832916675461</v>
      </c>
      <c r="AR7" s="14">
        <f>AG7-W7</f>
        <v>0.38566728672665196</v>
      </c>
      <c r="AS7" s="9" t="s">
        <v>39</v>
      </c>
      <c r="AT7" s="6" t="s">
        <v>40</v>
      </c>
      <c r="AU7" s="6" t="s">
        <v>19</v>
      </c>
    </row>
    <row r="8" spans="1:65" x14ac:dyDescent="0.3">
      <c r="A8" s="6" t="s">
        <v>82</v>
      </c>
      <c r="B8" s="1">
        <v>0.88194444444444453</v>
      </c>
      <c r="C8" s="6" t="s">
        <v>41</v>
      </c>
      <c r="D8" s="6" t="s">
        <v>26</v>
      </c>
      <c r="E8" s="6" t="s">
        <v>42</v>
      </c>
      <c r="F8" s="6" t="s">
        <v>32</v>
      </c>
      <c r="G8" s="6">
        <v>25</v>
      </c>
      <c r="H8" s="6" t="s">
        <v>16</v>
      </c>
      <c r="I8" s="43" t="s">
        <v>128</v>
      </c>
      <c r="J8" s="7">
        <v>4</v>
      </c>
      <c r="K8" s="7" t="s">
        <v>16</v>
      </c>
      <c r="L8" s="3" t="s">
        <v>16</v>
      </c>
      <c r="M8" s="7" t="s">
        <v>16</v>
      </c>
      <c r="N8" s="8">
        <v>5</v>
      </c>
      <c r="O8" s="8">
        <v>35</v>
      </c>
      <c r="P8" s="9">
        <v>24</v>
      </c>
      <c r="Q8" s="6" t="s">
        <v>16</v>
      </c>
      <c r="R8" s="8">
        <v>5</v>
      </c>
      <c r="S8" s="8">
        <v>27</v>
      </c>
      <c r="T8" s="5">
        <v>0</v>
      </c>
      <c r="U8" s="13">
        <v>83.822083329999998</v>
      </c>
      <c r="V8" s="13">
        <v>-5.3911111099999998</v>
      </c>
      <c r="W8" s="6" t="s">
        <v>16</v>
      </c>
      <c r="X8" s="6" t="s">
        <v>16</v>
      </c>
      <c r="Y8" s="13"/>
      <c r="Z8" s="13"/>
      <c r="AA8" s="13"/>
      <c r="AB8" s="13"/>
      <c r="AC8" s="13"/>
      <c r="AD8" s="13"/>
      <c r="AE8" s="13"/>
      <c r="AF8" s="13"/>
      <c r="AG8" s="21"/>
      <c r="AH8" s="19"/>
      <c r="AI8" s="19"/>
      <c r="AJ8" s="25">
        <v>9.2972156118375739</v>
      </c>
      <c r="AK8" s="25"/>
      <c r="AL8" s="25"/>
      <c r="AM8" s="25"/>
      <c r="AN8" s="25"/>
      <c r="AO8" s="29"/>
      <c r="AP8" s="27"/>
      <c r="AQ8" s="20">
        <v>2.7313609168128243</v>
      </c>
      <c r="AS8" s="6" t="s">
        <v>16</v>
      </c>
      <c r="AT8" s="6" t="s">
        <v>43</v>
      </c>
      <c r="AU8" s="43" t="s">
        <v>127</v>
      </c>
    </row>
    <row r="9" spans="1:65" s="43" customFormat="1" x14ac:dyDescent="0.3">
      <c r="A9" s="43" t="s">
        <v>82</v>
      </c>
      <c r="B9" s="1">
        <v>0.88194444444444453</v>
      </c>
      <c r="C9" s="43" t="s">
        <v>41</v>
      </c>
      <c r="D9" s="43" t="s">
        <v>26</v>
      </c>
      <c r="E9" s="43" t="s">
        <v>42</v>
      </c>
      <c r="F9" s="43" t="s">
        <v>32</v>
      </c>
      <c r="G9" s="43">
        <v>26</v>
      </c>
      <c r="H9" s="43" t="s">
        <v>16</v>
      </c>
      <c r="I9" s="43" t="s">
        <v>16</v>
      </c>
      <c r="J9" s="7"/>
      <c r="K9" s="7"/>
      <c r="L9" s="3"/>
      <c r="M9" s="7"/>
      <c r="N9" s="8">
        <v>5</v>
      </c>
      <c r="O9" s="8">
        <v>35</v>
      </c>
      <c r="P9" s="9">
        <v>26.401</v>
      </c>
      <c r="Q9" s="43" t="s">
        <v>16</v>
      </c>
      <c r="R9" s="8">
        <v>5</v>
      </c>
      <c r="S9" s="8">
        <v>25</v>
      </c>
      <c r="T9" s="5">
        <v>0.72</v>
      </c>
      <c r="U9" s="45"/>
      <c r="V9" s="45"/>
      <c r="Y9" s="45"/>
      <c r="Z9" s="45"/>
      <c r="AA9" s="45"/>
      <c r="AB9" s="45"/>
      <c r="AC9" s="45"/>
      <c r="AD9" s="45"/>
      <c r="AE9" s="45"/>
      <c r="AF9" s="45"/>
      <c r="AG9" s="21"/>
      <c r="AH9" s="19"/>
      <c r="AI9" s="19"/>
      <c r="AJ9" s="25">
        <v>10.414064797862753</v>
      </c>
      <c r="AK9" s="25"/>
      <c r="AL9" s="25"/>
      <c r="AM9" s="25"/>
      <c r="AN9" s="25"/>
      <c r="AO9" s="29"/>
      <c r="AP9" s="27"/>
      <c r="AQ9" s="20"/>
      <c r="AT9" s="43" t="s">
        <v>164</v>
      </c>
      <c r="AU9" s="43" t="s">
        <v>163</v>
      </c>
    </row>
    <row r="10" spans="1:65" x14ac:dyDescent="0.3">
      <c r="A10" s="6" t="s">
        <v>82</v>
      </c>
      <c r="B10" s="1">
        <v>0.90625</v>
      </c>
      <c r="C10" s="6" t="s">
        <v>44</v>
      </c>
      <c r="D10" s="6" t="s">
        <v>30</v>
      </c>
      <c r="E10" s="6" t="s">
        <v>45</v>
      </c>
      <c r="F10" s="6" t="s">
        <v>32</v>
      </c>
      <c r="G10" s="6">
        <v>25</v>
      </c>
      <c r="H10" s="6">
        <v>132346</v>
      </c>
      <c r="I10" s="6">
        <v>26311</v>
      </c>
      <c r="J10" s="7">
        <v>1.65</v>
      </c>
      <c r="K10" s="7" t="s">
        <v>16</v>
      </c>
      <c r="L10" s="3" t="s">
        <v>16</v>
      </c>
      <c r="M10" s="7" t="s">
        <v>16</v>
      </c>
      <c r="N10" s="8">
        <v>5</v>
      </c>
      <c r="O10" s="8">
        <v>36</v>
      </c>
      <c r="P10" s="9">
        <v>12.8</v>
      </c>
      <c r="Q10" s="6" t="s">
        <v>16</v>
      </c>
      <c r="R10" s="8">
        <v>1</v>
      </c>
      <c r="S10" s="8">
        <v>12</v>
      </c>
      <c r="T10" s="9">
        <v>6.9</v>
      </c>
      <c r="U10" s="13">
        <v>84.053389580000001</v>
      </c>
      <c r="V10" s="13">
        <v>-1.20191972</v>
      </c>
      <c r="W10" s="13">
        <v>1.69</v>
      </c>
      <c r="X10" s="13">
        <v>-0.184</v>
      </c>
      <c r="Y10" s="13">
        <f t="shared" ref="Y10:Y18" si="2">(W10-(0.42*X10))+0.11</f>
        <v>1.8772800000000001</v>
      </c>
      <c r="Z10" s="13">
        <f t="shared" ref="Z10:Z18" si="3">(W10+(0.6*X10))-0.13</f>
        <v>1.4495999999999998</v>
      </c>
      <c r="AA10" s="13">
        <f t="shared" ref="AA10:AA18" si="4">Z10-Y10</f>
        <v>-0.42768000000000028</v>
      </c>
      <c r="AB10" s="13">
        <f t="shared" ref="AB10:AB18" si="5">Y10-(0.1837*AA10)-0.0971</f>
        <v>1.8587448160000002</v>
      </c>
      <c r="AC10" s="13">
        <f t="shared" ref="AC10:AC18" si="6">(Y10-0.1439-AB10)/0.2936</f>
        <v>-0.42699188010899192</v>
      </c>
      <c r="AD10" s="13">
        <f t="shared" ref="AD10:AD18" si="7">Y10-(1.2444*AC10)-0.382</f>
        <v>2.0266286956076294</v>
      </c>
      <c r="AE10" s="13">
        <f t="shared" ref="AE10:AE18" si="8">-AB10-AD10</f>
        <v>-3.8853735116076296</v>
      </c>
      <c r="AF10" s="13">
        <f t="shared" ref="AF10:AF18" si="9">(1.07*AE10)-0.228</f>
        <v>-4.3853496574201634</v>
      </c>
      <c r="AG10" s="21">
        <f t="shared" ref="AG10:AG18" si="10">Y10-(0.035*(AF10-0.21))</f>
        <v>2.0381172380097059</v>
      </c>
      <c r="AH10" s="19"/>
      <c r="AI10" s="19"/>
      <c r="AJ10" s="25">
        <v>6.8370499999999996</v>
      </c>
      <c r="AK10" s="25"/>
      <c r="AL10" s="25"/>
      <c r="AM10" s="25">
        <f t="shared" si="0"/>
        <v>5.3705561242487327</v>
      </c>
      <c r="AN10" s="25">
        <f t="shared" si="1"/>
        <v>3.3324388862390268</v>
      </c>
      <c r="AO10" s="29">
        <f t="shared" ref="AO10:AO18" si="11">AM10-(AVERAGE(IF($AN$4:$AN$25&gt;0,$AN$4:$AN$25)))</f>
        <v>2.3341088008925501</v>
      </c>
      <c r="AP10" s="27">
        <f t="shared" ref="AP10:AP18" si="12">ABS(AO10-AG10)</f>
        <v>0.29599156288284423</v>
      </c>
      <c r="AQ10" s="20">
        <v>2.4299250846001188</v>
      </c>
      <c r="AR10" s="14">
        <f t="shared" ref="AR10:AR18" si="13">AG10-W10</f>
        <v>0.34811723800970595</v>
      </c>
      <c r="AS10" s="9" t="s">
        <v>46</v>
      </c>
      <c r="AT10" s="6" t="s">
        <v>47</v>
      </c>
      <c r="AU10" s="6" t="s">
        <v>130</v>
      </c>
    </row>
    <row r="11" spans="1:65" x14ac:dyDescent="0.3">
      <c r="A11" s="6" t="s">
        <v>82</v>
      </c>
      <c r="B11" s="1">
        <v>0.9159722222222223</v>
      </c>
      <c r="C11" s="6" t="s">
        <v>16</v>
      </c>
      <c r="D11" s="6" t="s">
        <v>30</v>
      </c>
      <c r="E11" s="6" t="s">
        <v>48</v>
      </c>
      <c r="F11" s="6" t="s">
        <v>49</v>
      </c>
      <c r="G11" s="6">
        <v>29</v>
      </c>
      <c r="H11" s="6">
        <v>94027</v>
      </c>
      <c r="I11" s="6">
        <v>21421</v>
      </c>
      <c r="J11" s="7">
        <v>0.85</v>
      </c>
      <c r="K11" s="7" t="s">
        <v>16</v>
      </c>
      <c r="L11" s="3" t="s">
        <v>16</v>
      </c>
      <c r="M11" s="7" t="s">
        <v>16</v>
      </c>
      <c r="N11" s="8">
        <v>4</v>
      </c>
      <c r="O11" s="8">
        <v>35</v>
      </c>
      <c r="P11" s="9">
        <v>55.3</v>
      </c>
      <c r="Q11" s="6" t="s">
        <v>22</v>
      </c>
      <c r="R11" s="8">
        <v>16</v>
      </c>
      <c r="S11" s="8">
        <v>30</v>
      </c>
      <c r="T11" s="9">
        <v>32.9</v>
      </c>
      <c r="U11" s="13">
        <v>68.980161249999995</v>
      </c>
      <c r="V11" s="13">
        <v>16.509301390000001</v>
      </c>
      <c r="W11" s="13">
        <v>0.87</v>
      </c>
      <c r="X11" s="13">
        <v>1.538</v>
      </c>
      <c r="Y11" s="13">
        <f t="shared" si="2"/>
        <v>0.33404</v>
      </c>
      <c r="Z11" s="13">
        <f t="shared" si="3"/>
        <v>1.6627999999999998</v>
      </c>
      <c r="AA11" s="13">
        <f t="shared" si="4"/>
        <v>1.3287599999999999</v>
      </c>
      <c r="AB11" s="13">
        <f t="shared" si="5"/>
        <v>-7.153212000000006E-3</v>
      </c>
      <c r="AC11" s="13">
        <f t="shared" si="6"/>
        <v>0.67197960490463204</v>
      </c>
      <c r="AD11" s="13">
        <f t="shared" si="7"/>
        <v>-0.88417142034332408</v>
      </c>
      <c r="AE11" s="13">
        <f t="shared" si="8"/>
        <v>0.89132463234332404</v>
      </c>
      <c r="AF11" s="13">
        <f t="shared" si="9"/>
        <v>0.72571735660735681</v>
      </c>
      <c r="AG11" s="21">
        <f t="shared" si="10"/>
        <v>0.31598989251874249</v>
      </c>
      <c r="AH11" s="19"/>
      <c r="AI11" s="19"/>
      <c r="AJ11" s="25">
        <v>4.9650800000000004</v>
      </c>
      <c r="AK11" s="25"/>
      <c r="AL11" s="25"/>
      <c r="AM11" s="25">
        <f t="shared" si="0"/>
        <v>3.4985861242487335</v>
      </c>
      <c r="AN11" s="25">
        <f t="shared" si="1"/>
        <v>3.182596231729991</v>
      </c>
      <c r="AO11" s="29">
        <f t="shared" si="11"/>
        <v>0.46213880089255088</v>
      </c>
      <c r="AP11" s="27">
        <f t="shared" si="12"/>
        <v>0.14614890837380839</v>
      </c>
      <c r="AQ11" s="20">
        <v>2.0296208969645742</v>
      </c>
      <c r="AR11" s="14">
        <f t="shared" si="13"/>
        <v>-0.55401010748125756</v>
      </c>
      <c r="AS11" s="15" t="s">
        <v>50</v>
      </c>
      <c r="AT11" s="6" t="s">
        <v>51</v>
      </c>
    </row>
    <row r="12" spans="1:65" x14ac:dyDescent="0.3">
      <c r="A12" s="6" t="s">
        <v>82</v>
      </c>
      <c r="B12" s="1">
        <v>0.92708333333333337</v>
      </c>
      <c r="C12" s="6" t="s">
        <v>53</v>
      </c>
      <c r="D12" s="6" t="s">
        <v>30</v>
      </c>
      <c r="E12" s="6" t="s">
        <v>54</v>
      </c>
      <c r="F12" s="6" t="s">
        <v>55</v>
      </c>
      <c r="G12" s="6">
        <v>47</v>
      </c>
      <c r="H12" s="6">
        <v>44752</v>
      </c>
      <c r="I12" s="6">
        <v>67301</v>
      </c>
      <c r="J12" s="7">
        <v>1.85</v>
      </c>
      <c r="K12" s="7" t="s">
        <v>16</v>
      </c>
      <c r="L12" s="3" t="s">
        <v>16</v>
      </c>
      <c r="M12" s="7" t="s">
        <v>16</v>
      </c>
      <c r="N12" s="8">
        <v>13</v>
      </c>
      <c r="O12" s="8">
        <v>47</v>
      </c>
      <c r="P12" s="9">
        <v>32.4</v>
      </c>
      <c r="Q12" s="6" t="s">
        <v>22</v>
      </c>
      <c r="R12" s="8">
        <v>49</v>
      </c>
      <c r="S12" s="8">
        <v>18</v>
      </c>
      <c r="T12" s="9">
        <v>47.5</v>
      </c>
      <c r="U12" s="11">
        <v>206.88515708</v>
      </c>
      <c r="V12" s="11">
        <v>49.313265000000001</v>
      </c>
      <c r="W12" s="13">
        <v>1.85</v>
      </c>
      <c r="X12" s="13">
        <v>-9.9000000000000005E-2</v>
      </c>
      <c r="Y12" s="13">
        <f t="shared" si="2"/>
        <v>2.0015800000000001</v>
      </c>
      <c r="Z12" s="13">
        <f t="shared" si="3"/>
        <v>1.6606000000000001</v>
      </c>
      <c r="AA12" s="13">
        <f t="shared" si="4"/>
        <v>-0.34098000000000006</v>
      </c>
      <c r="AB12" s="13">
        <f t="shared" si="5"/>
        <v>1.9671180260000003</v>
      </c>
      <c r="AC12" s="13">
        <f t="shared" si="6"/>
        <v>-0.37274532016348799</v>
      </c>
      <c r="AD12" s="13">
        <f t="shared" si="7"/>
        <v>2.0834242764114443</v>
      </c>
      <c r="AE12" s="13">
        <f t="shared" si="8"/>
        <v>-4.0505423024114444</v>
      </c>
      <c r="AF12" s="13">
        <f t="shared" si="9"/>
        <v>-4.5620802635802455</v>
      </c>
      <c r="AG12" s="21">
        <f t="shared" si="10"/>
        <v>2.1686028092253089</v>
      </c>
      <c r="AH12" s="19"/>
      <c r="AI12" s="19"/>
      <c r="AJ12" s="25">
        <v>6.7351999999999999</v>
      </c>
      <c r="AK12" s="25"/>
      <c r="AL12" s="25"/>
      <c r="AM12" s="25">
        <f t="shared" si="0"/>
        <v>5.268706124248733</v>
      </c>
      <c r="AN12" s="25">
        <f t="shared" si="1"/>
        <v>3.1001033150234241</v>
      </c>
      <c r="AO12" s="29">
        <f t="shared" si="11"/>
        <v>2.2322588008925504</v>
      </c>
      <c r="AP12" s="27">
        <f t="shared" si="12"/>
        <v>6.3655991667241452E-2</v>
      </c>
      <c r="AQ12" s="20">
        <v>1.350968115315718</v>
      </c>
      <c r="AR12" s="14">
        <f t="shared" si="13"/>
        <v>0.31860280922530881</v>
      </c>
      <c r="AS12" s="9" t="s">
        <v>56</v>
      </c>
      <c r="AT12" s="6" t="s">
        <v>57</v>
      </c>
    </row>
    <row r="13" spans="1:65" x14ac:dyDescent="0.3">
      <c r="A13" s="6" t="s">
        <v>82</v>
      </c>
      <c r="B13" s="1">
        <v>0.93402777777777779</v>
      </c>
      <c r="C13" s="6" t="s">
        <v>58</v>
      </c>
      <c r="D13" s="1" t="s">
        <v>19</v>
      </c>
      <c r="E13" s="6" t="s">
        <v>59</v>
      </c>
      <c r="F13" s="6" t="s">
        <v>55</v>
      </c>
      <c r="G13" s="6">
        <v>54</v>
      </c>
      <c r="H13" s="6">
        <v>28737</v>
      </c>
      <c r="I13" s="6" t="s">
        <v>60</v>
      </c>
      <c r="J13" s="7">
        <v>2.25</v>
      </c>
      <c r="K13" s="7">
        <v>3.87</v>
      </c>
      <c r="L13" s="3">
        <v>14.4</v>
      </c>
      <c r="M13" s="7">
        <v>14.23</v>
      </c>
      <c r="N13" s="8">
        <v>13</v>
      </c>
      <c r="O13" s="8">
        <v>23</v>
      </c>
      <c r="P13" s="9">
        <v>55.6</v>
      </c>
      <c r="Q13" s="6" t="s">
        <v>22</v>
      </c>
      <c r="R13" s="8">
        <v>54</v>
      </c>
      <c r="S13" s="8">
        <v>55</v>
      </c>
      <c r="T13" s="9">
        <v>31.6</v>
      </c>
      <c r="U13" s="11">
        <v>200.98</v>
      </c>
      <c r="V13" s="11">
        <v>54.923609999999996</v>
      </c>
      <c r="W13" s="13">
        <v>2.23</v>
      </c>
      <c r="X13" s="13">
        <v>5.7000000000000002E-2</v>
      </c>
      <c r="Y13" s="13">
        <f t="shared" si="2"/>
        <v>2.3160599999999998</v>
      </c>
      <c r="Z13" s="13">
        <f t="shared" si="3"/>
        <v>2.1341999999999999</v>
      </c>
      <c r="AA13" s="13">
        <f t="shared" si="4"/>
        <v>-0.18185999999999991</v>
      </c>
      <c r="AB13" s="13">
        <f t="shared" si="5"/>
        <v>2.2523676819999996</v>
      </c>
      <c r="AC13" s="13">
        <f t="shared" si="6"/>
        <v>-0.27318692779291459</v>
      </c>
      <c r="AD13" s="13">
        <f t="shared" si="7"/>
        <v>2.2740138129455025</v>
      </c>
      <c r="AE13" s="13">
        <f t="shared" si="8"/>
        <v>-4.5263814949455021</v>
      </c>
      <c r="AF13" s="13">
        <f t="shared" si="9"/>
        <v>-5.0712281995916877</v>
      </c>
      <c r="AG13" s="21">
        <f t="shared" si="10"/>
        <v>2.5009029869857087</v>
      </c>
      <c r="AH13" s="19">
        <v>6.8650000000000002</v>
      </c>
      <c r="AI13" s="19"/>
      <c r="AJ13" s="25">
        <v>6.8375700000000004</v>
      </c>
      <c r="AK13" s="25"/>
      <c r="AL13" s="25"/>
      <c r="AM13" s="25">
        <f t="shared" si="0"/>
        <v>5.3710761242487335</v>
      </c>
      <c r="AN13" s="25">
        <f t="shared" si="1"/>
        <v>2.8701731372630248</v>
      </c>
      <c r="AO13" s="29">
        <f t="shared" si="11"/>
        <v>2.3346288008925509</v>
      </c>
      <c r="AP13" s="27">
        <f t="shared" si="12"/>
        <v>0.16627418609315781</v>
      </c>
      <c r="AQ13" s="20">
        <v>1.2337404870669433</v>
      </c>
      <c r="AR13" s="14">
        <f t="shared" si="13"/>
        <v>0.27090298698570869</v>
      </c>
      <c r="AS13" s="9" t="s">
        <v>61</v>
      </c>
      <c r="AT13" s="6" t="s">
        <v>57</v>
      </c>
      <c r="AU13" s="6" t="s">
        <v>19</v>
      </c>
    </row>
    <row r="14" spans="1:65" x14ac:dyDescent="0.3">
      <c r="A14" s="6" t="s">
        <v>82</v>
      </c>
      <c r="B14" s="1">
        <v>0.9375</v>
      </c>
      <c r="C14" s="6" t="s">
        <v>62</v>
      </c>
      <c r="D14" s="6" t="s">
        <v>30</v>
      </c>
      <c r="E14" s="6" t="s">
        <v>63</v>
      </c>
      <c r="F14" s="6" t="s">
        <v>55</v>
      </c>
      <c r="G14" s="6">
        <v>58</v>
      </c>
      <c r="H14" s="6">
        <v>28553</v>
      </c>
      <c r="I14" s="6">
        <v>62956</v>
      </c>
      <c r="J14" s="7">
        <v>1.75</v>
      </c>
      <c r="K14" s="7" t="s">
        <v>16</v>
      </c>
      <c r="L14" s="3" t="s">
        <v>16</v>
      </c>
      <c r="M14" s="7" t="s">
        <v>16</v>
      </c>
      <c r="N14" s="8">
        <v>12</v>
      </c>
      <c r="O14" s="8">
        <v>54</v>
      </c>
      <c r="P14" s="9">
        <v>1.8</v>
      </c>
      <c r="Q14" s="6" t="s">
        <v>22</v>
      </c>
      <c r="R14" s="8">
        <v>55</v>
      </c>
      <c r="S14" s="8">
        <v>57</v>
      </c>
      <c r="T14" s="9">
        <v>35.799999999999997</v>
      </c>
      <c r="U14" s="11">
        <v>193.50728917000001</v>
      </c>
      <c r="V14" s="11">
        <v>55.95982111</v>
      </c>
      <c r="W14" s="13">
        <v>1.76</v>
      </c>
      <c r="X14" s="13">
        <v>-2.1999999999999999E-2</v>
      </c>
      <c r="Y14" s="13">
        <f t="shared" si="2"/>
        <v>1.87924</v>
      </c>
      <c r="Z14" s="13">
        <f t="shared" si="3"/>
        <v>1.6168</v>
      </c>
      <c r="AA14" s="13">
        <f t="shared" si="4"/>
        <v>-0.26244000000000001</v>
      </c>
      <c r="AB14" s="13">
        <f t="shared" si="5"/>
        <v>1.8303502280000001</v>
      </c>
      <c r="AC14" s="13">
        <f t="shared" si="6"/>
        <v>-0.32360431880108997</v>
      </c>
      <c r="AD14" s="13">
        <f t="shared" si="7"/>
        <v>1.8999332143160763</v>
      </c>
      <c r="AE14" s="13">
        <f t="shared" si="8"/>
        <v>-3.7302834423160762</v>
      </c>
      <c r="AF14" s="13">
        <f t="shared" si="9"/>
        <v>-4.2194032832782016</v>
      </c>
      <c r="AG14" s="21">
        <f t="shared" si="10"/>
        <v>2.0342691149147369</v>
      </c>
      <c r="AH14" s="19"/>
      <c r="AI14" s="19"/>
      <c r="AJ14" s="25">
        <v>6.5334000000000003</v>
      </c>
      <c r="AK14" s="25"/>
      <c r="AL14" s="25"/>
      <c r="AM14" s="25">
        <f t="shared" si="0"/>
        <v>5.0669061242487334</v>
      </c>
      <c r="AN14" s="25">
        <f t="shared" si="1"/>
        <v>3.0326370093339965</v>
      </c>
      <c r="AO14" s="29">
        <f t="shared" si="11"/>
        <v>2.0304588008925508</v>
      </c>
      <c r="AP14" s="27">
        <f t="shared" si="12"/>
        <v>3.8103140221861231E-3</v>
      </c>
      <c r="AQ14" s="20">
        <v>1.1600969688403235</v>
      </c>
      <c r="AR14" s="14">
        <f t="shared" si="13"/>
        <v>0.27426911491473693</v>
      </c>
      <c r="AS14" s="9" t="s">
        <v>64</v>
      </c>
      <c r="AT14" s="6" t="s">
        <v>57</v>
      </c>
    </row>
    <row r="15" spans="1:65" x14ac:dyDescent="0.3">
      <c r="A15" s="6" t="s">
        <v>82</v>
      </c>
      <c r="B15" s="1">
        <v>0.94097222222222221</v>
      </c>
      <c r="C15" s="6" t="s">
        <v>65</v>
      </c>
      <c r="D15" s="6" t="s">
        <v>30</v>
      </c>
      <c r="E15" s="6" t="s">
        <v>66</v>
      </c>
      <c r="F15" s="6" t="s">
        <v>55</v>
      </c>
      <c r="G15" s="6">
        <v>65</v>
      </c>
      <c r="H15" s="6">
        <v>28315</v>
      </c>
      <c r="I15" s="6">
        <v>59774</v>
      </c>
      <c r="J15" s="7">
        <v>3.3</v>
      </c>
      <c r="K15" s="7" t="s">
        <v>16</v>
      </c>
      <c r="L15" s="3" t="s">
        <v>16</v>
      </c>
      <c r="M15" s="7" t="s">
        <v>16</v>
      </c>
      <c r="N15" s="8">
        <v>12</v>
      </c>
      <c r="O15" s="8">
        <v>15</v>
      </c>
      <c r="P15" s="9">
        <v>25.6</v>
      </c>
      <c r="Q15" s="6" t="s">
        <v>22</v>
      </c>
      <c r="R15" s="8">
        <v>57</v>
      </c>
      <c r="S15" s="8">
        <v>1</v>
      </c>
      <c r="T15" s="9">
        <v>58</v>
      </c>
      <c r="U15" s="12">
        <v>183.85650042</v>
      </c>
      <c r="V15" s="12">
        <v>57.032616939999997</v>
      </c>
      <c r="W15" s="13">
        <v>3.32</v>
      </c>
      <c r="X15" s="13">
        <v>7.6999999999999999E-2</v>
      </c>
      <c r="Y15" s="13">
        <f t="shared" si="2"/>
        <v>3.3976599999999997</v>
      </c>
      <c r="Z15" s="13">
        <f t="shared" si="3"/>
        <v>3.2361999999999997</v>
      </c>
      <c r="AA15" s="13">
        <f t="shared" si="4"/>
        <v>-0.16145999999999994</v>
      </c>
      <c r="AB15" s="13">
        <f t="shared" si="5"/>
        <v>3.3302202019999996</v>
      </c>
      <c r="AC15" s="13">
        <f t="shared" si="6"/>
        <v>-0.26042303133514921</v>
      </c>
      <c r="AD15" s="13">
        <f t="shared" si="7"/>
        <v>3.3397304201934594</v>
      </c>
      <c r="AE15" s="13">
        <f t="shared" si="8"/>
        <v>-6.6699506221934595</v>
      </c>
      <c r="AF15" s="13">
        <f t="shared" si="9"/>
        <v>-7.364847165747002</v>
      </c>
      <c r="AG15" s="21">
        <f t="shared" si="10"/>
        <v>3.662779650801145</v>
      </c>
      <c r="AH15" s="19"/>
      <c r="AI15" s="19"/>
      <c r="AJ15" s="25">
        <v>8.0440100000000001</v>
      </c>
      <c r="AK15" s="25"/>
      <c r="AL15" s="25"/>
      <c r="AM15" s="25">
        <f t="shared" si="0"/>
        <v>6.5775161242487332</v>
      </c>
      <c r="AN15" s="25">
        <f t="shared" si="1"/>
        <v>2.9147364734475882</v>
      </c>
      <c r="AO15" s="29">
        <f t="shared" si="11"/>
        <v>3.5410688008925506</v>
      </c>
      <c r="AP15" s="27">
        <f t="shared" si="12"/>
        <v>0.12171084990859438</v>
      </c>
      <c r="AQ15" s="20">
        <v>1.0978986587728485</v>
      </c>
      <c r="AR15" s="14">
        <f t="shared" si="13"/>
        <v>0.34277965080114514</v>
      </c>
      <c r="AS15" s="9" t="s">
        <v>67</v>
      </c>
      <c r="AT15" s="6" t="s">
        <v>57</v>
      </c>
    </row>
    <row r="16" spans="1:65" x14ac:dyDescent="0.3">
      <c r="A16" s="6" t="s">
        <v>82</v>
      </c>
      <c r="B16" s="1">
        <v>0.94444444444444453</v>
      </c>
      <c r="C16" s="6" t="s">
        <v>68</v>
      </c>
      <c r="D16" s="6" t="s">
        <v>30</v>
      </c>
      <c r="E16" s="6" t="s">
        <v>69</v>
      </c>
      <c r="F16" s="6" t="s">
        <v>55</v>
      </c>
      <c r="G16" s="6">
        <v>68</v>
      </c>
      <c r="H16" s="6">
        <v>28179</v>
      </c>
      <c r="I16" s="6">
        <v>58001</v>
      </c>
      <c r="J16" s="7">
        <v>2.4</v>
      </c>
      <c r="K16" s="7" t="s">
        <v>16</v>
      </c>
      <c r="L16" s="3" t="s">
        <v>16</v>
      </c>
      <c r="M16" s="7" t="s">
        <v>16</v>
      </c>
      <c r="N16" s="8">
        <v>11</v>
      </c>
      <c r="O16" s="8">
        <v>53</v>
      </c>
      <c r="P16" s="9">
        <v>50</v>
      </c>
      <c r="Q16" s="6" t="s">
        <v>22</v>
      </c>
      <c r="R16" s="8">
        <v>53</v>
      </c>
      <c r="S16" s="8">
        <v>41</v>
      </c>
      <c r="T16" s="9">
        <v>41.3</v>
      </c>
      <c r="U16" s="12">
        <v>178.45769791999999</v>
      </c>
      <c r="V16" s="12">
        <v>53.694760000000002</v>
      </c>
      <c r="W16" s="13">
        <v>2.41</v>
      </c>
      <c r="X16" s="13">
        <v>4.3999999999999997E-2</v>
      </c>
      <c r="Y16" s="13">
        <f t="shared" si="2"/>
        <v>2.5015200000000002</v>
      </c>
      <c r="Z16" s="13">
        <f t="shared" si="3"/>
        <v>2.3064000000000004</v>
      </c>
      <c r="AA16" s="13">
        <f t="shared" si="4"/>
        <v>-0.19511999999999974</v>
      </c>
      <c r="AB16" s="13">
        <f t="shared" si="5"/>
        <v>2.440263544</v>
      </c>
      <c r="AC16" s="13">
        <f t="shared" si="6"/>
        <v>-0.2814834604904623</v>
      </c>
      <c r="AD16" s="13">
        <f t="shared" si="7"/>
        <v>2.4697980182343313</v>
      </c>
      <c r="AE16" s="13">
        <f t="shared" si="8"/>
        <v>-4.9100615622343309</v>
      </c>
      <c r="AF16" s="13">
        <f t="shared" si="9"/>
        <v>-5.481765871590734</v>
      </c>
      <c r="AG16" s="21">
        <f t="shared" si="10"/>
        <v>2.7007318055056757</v>
      </c>
      <c r="AH16" s="19"/>
      <c r="AI16" s="19"/>
      <c r="AJ16" s="25">
        <v>7.1755399999999998</v>
      </c>
      <c r="AK16" s="25"/>
      <c r="AL16" s="25"/>
      <c r="AM16" s="25">
        <f t="shared" si="0"/>
        <v>5.7090461242487329</v>
      </c>
      <c r="AN16" s="25">
        <f t="shared" si="1"/>
        <v>3.0083143187430572</v>
      </c>
      <c r="AO16" s="29">
        <f t="shared" si="11"/>
        <v>2.6725988008925503</v>
      </c>
      <c r="AP16" s="27">
        <f t="shared" si="12"/>
        <v>2.8133004613125401E-2</v>
      </c>
      <c r="AQ16" s="20">
        <v>1.0716996416718561</v>
      </c>
      <c r="AR16" s="14">
        <f t="shared" si="13"/>
        <v>0.29073180550567557</v>
      </c>
      <c r="AS16" s="9" t="s">
        <v>70</v>
      </c>
      <c r="AT16" s="6" t="s">
        <v>57</v>
      </c>
    </row>
    <row r="17" spans="1:61" x14ac:dyDescent="0.3">
      <c r="A17" s="6" t="s">
        <v>82</v>
      </c>
      <c r="B17" s="1">
        <v>0.94791666666666663</v>
      </c>
      <c r="C17" s="6" t="s">
        <v>71</v>
      </c>
      <c r="D17" s="6" t="s">
        <v>30</v>
      </c>
      <c r="E17" s="6" t="s">
        <v>72</v>
      </c>
      <c r="F17" s="6" t="s">
        <v>55</v>
      </c>
      <c r="G17" s="6">
        <v>77</v>
      </c>
      <c r="H17" s="6">
        <v>27876</v>
      </c>
      <c r="I17" s="6">
        <v>53910</v>
      </c>
      <c r="J17" s="7">
        <v>2.2999999999999998</v>
      </c>
      <c r="K17" s="7" t="s">
        <v>16</v>
      </c>
      <c r="L17" s="3" t="s">
        <v>16</v>
      </c>
      <c r="M17" s="7" t="s">
        <v>16</v>
      </c>
      <c r="N17" s="8">
        <v>11</v>
      </c>
      <c r="O17" s="8">
        <v>1</v>
      </c>
      <c r="P17" s="9">
        <v>50.5</v>
      </c>
      <c r="Q17" s="6" t="s">
        <v>22</v>
      </c>
      <c r="R17" s="8">
        <v>56</v>
      </c>
      <c r="S17" s="8">
        <v>22</v>
      </c>
      <c r="T17" s="9">
        <v>56.5</v>
      </c>
      <c r="U17" s="11">
        <v>165.46032</v>
      </c>
      <c r="V17" s="11">
        <v>56.382426670000001</v>
      </c>
      <c r="W17" s="13">
        <v>2.34</v>
      </c>
      <c r="X17" s="13">
        <v>3.3000000000000002E-2</v>
      </c>
      <c r="Y17" s="13">
        <f t="shared" si="2"/>
        <v>2.4361399999999995</v>
      </c>
      <c r="Z17" s="13">
        <f t="shared" si="3"/>
        <v>2.2298</v>
      </c>
      <c r="AA17" s="13">
        <f t="shared" si="4"/>
        <v>-0.20633999999999952</v>
      </c>
      <c r="AB17" s="13">
        <f t="shared" si="5"/>
        <v>2.3769446579999993</v>
      </c>
      <c r="AC17" s="13">
        <f t="shared" si="6"/>
        <v>-0.28850360354223331</v>
      </c>
      <c r="AD17" s="13">
        <f t="shared" si="7"/>
        <v>2.4131538842479547</v>
      </c>
      <c r="AE17" s="13">
        <f t="shared" si="8"/>
        <v>-4.7900985422479536</v>
      </c>
      <c r="AF17" s="13">
        <f t="shared" si="9"/>
        <v>-5.3534054402053108</v>
      </c>
      <c r="AG17" s="21">
        <f t="shared" si="10"/>
        <v>2.6308591904071856</v>
      </c>
      <c r="AH17" s="19"/>
      <c r="AI17" s="19"/>
      <c r="AJ17" s="25">
        <v>7.09511</v>
      </c>
      <c r="AK17" s="25"/>
      <c r="AL17" s="25"/>
      <c r="AM17" s="25">
        <f t="shared" si="0"/>
        <v>5.6286161242487331</v>
      </c>
      <c r="AN17" s="25">
        <f t="shared" si="1"/>
        <v>2.9977569338415475</v>
      </c>
      <c r="AO17" s="29">
        <f t="shared" si="11"/>
        <v>2.5921688008925505</v>
      </c>
      <c r="AP17" s="27">
        <f t="shared" si="12"/>
        <v>3.8690389514635104E-2</v>
      </c>
      <c r="AQ17" s="20">
        <v>1.0277505078534799</v>
      </c>
      <c r="AR17" s="14">
        <f t="shared" si="13"/>
        <v>0.29085919040718577</v>
      </c>
      <c r="AS17" s="9" t="s">
        <v>73</v>
      </c>
      <c r="AT17" s="6" t="s">
        <v>57</v>
      </c>
    </row>
    <row r="18" spans="1:61" x14ac:dyDescent="0.3">
      <c r="A18" s="6" t="s">
        <v>82</v>
      </c>
      <c r="B18" s="1">
        <v>0.95138888888888884</v>
      </c>
      <c r="C18" s="6" t="s">
        <v>74</v>
      </c>
      <c r="D18" s="1" t="s">
        <v>19</v>
      </c>
      <c r="E18" s="6" t="s">
        <v>75</v>
      </c>
      <c r="F18" s="6" t="s">
        <v>52</v>
      </c>
      <c r="G18" s="6">
        <v>75</v>
      </c>
      <c r="H18" s="6">
        <v>15384</v>
      </c>
      <c r="I18" s="6" t="s">
        <v>76</v>
      </c>
      <c r="J18" s="7">
        <v>2.02</v>
      </c>
      <c r="K18" s="7">
        <v>4.95</v>
      </c>
      <c r="L18" s="3">
        <v>0.9</v>
      </c>
      <c r="M18" s="7" t="s">
        <v>38</v>
      </c>
      <c r="N18" s="8">
        <v>11</v>
      </c>
      <c r="O18" s="8">
        <v>3</v>
      </c>
      <c r="P18" s="9">
        <v>43.7</v>
      </c>
      <c r="Q18" s="6" t="s">
        <v>22</v>
      </c>
      <c r="R18" s="8">
        <v>61</v>
      </c>
      <c r="S18" s="8">
        <v>45</v>
      </c>
      <c r="T18" s="9">
        <v>5.5</v>
      </c>
      <c r="U18" s="11">
        <v>165.93195291999999</v>
      </c>
      <c r="V18" s="11">
        <v>61.751033329999999</v>
      </c>
      <c r="W18" s="13">
        <v>1.81</v>
      </c>
      <c r="X18" s="13">
        <v>1.0609999999999999</v>
      </c>
      <c r="Y18" s="13">
        <f t="shared" si="2"/>
        <v>1.4743800000000002</v>
      </c>
      <c r="Z18" s="13">
        <f t="shared" si="3"/>
        <v>2.3166000000000002</v>
      </c>
      <c r="AA18" s="13">
        <f t="shared" si="4"/>
        <v>0.84221999999999997</v>
      </c>
      <c r="AB18" s="13">
        <f t="shared" si="5"/>
        <v>1.2225641860000003</v>
      </c>
      <c r="AC18" s="13">
        <f t="shared" si="6"/>
        <v>0.36756067438692114</v>
      </c>
      <c r="AD18" s="13">
        <f t="shared" si="7"/>
        <v>0.63498749679291555</v>
      </c>
      <c r="AE18" s="13">
        <f t="shared" si="8"/>
        <v>-1.8575516827929159</v>
      </c>
      <c r="AF18" s="13">
        <f t="shared" si="9"/>
        <v>-2.2155803005884205</v>
      </c>
      <c r="AG18" s="21">
        <f t="shared" si="10"/>
        <v>1.559275310520595</v>
      </c>
      <c r="AH18" s="19">
        <v>15.1</v>
      </c>
      <c r="AI18" s="19"/>
      <c r="AJ18" s="25">
        <v>6.1103500000000004</v>
      </c>
      <c r="AK18" s="25"/>
      <c r="AL18" s="25"/>
      <c r="AM18" s="25">
        <f t="shared" si="0"/>
        <v>4.6438561242487335</v>
      </c>
      <c r="AN18" s="25">
        <f t="shared" si="1"/>
        <v>3.0845808137281385</v>
      </c>
      <c r="AO18" s="29">
        <f t="shared" si="11"/>
        <v>1.6074088008925509</v>
      </c>
      <c r="AP18" s="27">
        <f t="shared" si="12"/>
        <v>4.8133490371955912E-2</v>
      </c>
      <c r="AQ18" s="20">
        <v>1.0367501702620372</v>
      </c>
      <c r="AR18" s="14">
        <f t="shared" si="13"/>
        <v>-0.25072468947940507</v>
      </c>
      <c r="AS18" s="15" t="s">
        <v>77</v>
      </c>
      <c r="AT18" s="6" t="s">
        <v>57</v>
      </c>
      <c r="AU18" s="6" t="s">
        <v>19</v>
      </c>
    </row>
    <row r="19" spans="1:61" x14ac:dyDescent="0.3">
      <c r="A19" s="6" t="s">
        <v>82</v>
      </c>
      <c r="B19" s="1">
        <v>0.95833333333333337</v>
      </c>
      <c r="C19" s="6" t="s">
        <v>78</v>
      </c>
      <c r="D19" s="6" t="s">
        <v>79</v>
      </c>
      <c r="E19" s="6" t="s">
        <v>78</v>
      </c>
      <c r="F19" s="6" t="s">
        <v>80</v>
      </c>
      <c r="G19" s="6">
        <v>22</v>
      </c>
      <c r="H19" s="6" t="s">
        <v>16</v>
      </c>
      <c r="I19" s="6" t="s">
        <v>16</v>
      </c>
      <c r="J19" s="7">
        <v>0.84</v>
      </c>
      <c r="K19" s="7" t="s">
        <v>16</v>
      </c>
      <c r="L19" s="3" t="s">
        <v>16</v>
      </c>
      <c r="M19" s="7" t="s">
        <v>16</v>
      </c>
      <c r="N19" s="8">
        <v>12</v>
      </c>
      <c r="O19" s="8">
        <v>47</v>
      </c>
      <c r="P19" s="9">
        <v>18.7</v>
      </c>
      <c r="Q19" s="6" t="s">
        <v>16</v>
      </c>
      <c r="R19" s="8">
        <v>2</v>
      </c>
      <c r="S19" s="8">
        <v>8</v>
      </c>
      <c r="T19" s="9">
        <v>15.5</v>
      </c>
      <c r="U19" s="13">
        <v>195.02044444444445</v>
      </c>
      <c r="V19" s="13">
        <v>-3.6067222222222224</v>
      </c>
      <c r="W19" s="6">
        <v>0.86</v>
      </c>
      <c r="X19" s="6" t="s">
        <v>16</v>
      </c>
      <c r="Y19" s="13"/>
      <c r="Z19" s="13"/>
      <c r="AA19" s="13"/>
      <c r="AB19" s="13"/>
      <c r="AC19" s="13"/>
      <c r="AD19" s="13"/>
      <c r="AE19" s="13"/>
      <c r="AF19" s="13"/>
      <c r="AG19" s="21"/>
      <c r="AH19" s="19"/>
      <c r="AI19" s="19"/>
      <c r="AJ19" s="25"/>
      <c r="AK19" s="25"/>
      <c r="AL19" s="25"/>
      <c r="AM19" s="25"/>
      <c r="AN19" s="25"/>
      <c r="AO19" s="29"/>
      <c r="AP19" s="27"/>
      <c r="AS19" s="9" t="s">
        <v>16</v>
      </c>
      <c r="AT19" s="6" t="s">
        <v>81</v>
      </c>
      <c r="AU19" s="6" t="s">
        <v>106</v>
      </c>
    </row>
    <row r="20" spans="1:61" s="43" customFormat="1" x14ac:dyDescent="0.3">
      <c r="A20" s="47" t="s">
        <v>100</v>
      </c>
      <c r="B20" s="48">
        <v>0.83333333333333337</v>
      </c>
      <c r="C20" s="47" t="s">
        <v>83</v>
      </c>
      <c r="D20" s="47" t="s">
        <v>30</v>
      </c>
      <c r="E20" s="47" t="s">
        <v>84</v>
      </c>
      <c r="F20" s="47" t="s">
        <v>85</v>
      </c>
      <c r="G20" s="47">
        <v>36</v>
      </c>
      <c r="H20" s="47" t="s">
        <v>16</v>
      </c>
      <c r="I20" s="47">
        <v>17573</v>
      </c>
      <c r="J20" s="49">
        <v>3.85</v>
      </c>
      <c r="K20" s="49" t="s">
        <v>16</v>
      </c>
      <c r="L20" s="50" t="s">
        <v>16</v>
      </c>
      <c r="M20" s="49" t="s">
        <v>16</v>
      </c>
      <c r="N20" s="51">
        <v>3</v>
      </c>
      <c r="O20" s="51">
        <v>45</v>
      </c>
      <c r="P20" s="52">
        <v>49.6</v>
      </c>
      <c r="Q20" s="47" t="s">
        <v>22</v>
      </c>
      <c r="R20" s="51">
        <v>24</v>
      </c>
      <c r="S20" s="51">
        <v>22</v>
      </c>
      <c r="T20" s="52">
        <v>3.4</v>
      </c>
      <c r="U20" s="53">
        <v>56.456694579999997</v>
      </c>
      <c r="V20" s="53">
        <v>24.36774861</v>
      </c>
      <c r="W20" s="53">
        <v>3.87</v>
      </c>
      <c r="X20" s="53">
        <v>-6.3E-2</v>
      </c>
      <c r="Y20" s="53">
        <f>(W20-(0.42*X20))+0.11</f>
        <v>4.0064600000000006</v>
      </c>
      <c r="Z20" s="53">
        <f>(W20+(0.6*X20))-0.13</f>
        <v>3.7022000000000004</v>
      </c>
      <c r="AA20" s="53">
        <f>Z20-Y20</f>
        <v>-0.3042600000000002</v>
      </c>
      <c r="AB20" s="53">
        <f>Y20-(0.1837*AA20)-0.0971</f>
        <v>3.9652525620000008</v>
      </c>
      <c r="AC20" s="53">
        <f>(Y20-0.1439-AB20)/0.2936</f>
        <v>-0.34977030653950986</v>
      </c>
      <c r="AD20" s="53">
        <f>Y20-(1.2444*AC20)-0.382</f>
        <v>4.0597141694577665</v>
      </c>
      <c r="AE20" s="53">
        <f>-AB20-AD20</f>
        <v>-8.0249667314577664</v>
      </c>
      <c r="AF20" s="53">
        <f>(1.07*AE20)-0.228</f>
        <v>-8.8147144026598099</v>
      </c>
      <c r="AG20" s="54">
        <f>Y20-(0.035*(AF20-0.21))</f>
        <v>4.3223250040930941</v>
      </c>
      <c r="AH20" s="55"/>
      <c r="AI20" s="55"/>
      <c r="AJ20" s="56">
        <v>8.8831199999999999</v>
      </c>
      <c r="AK20" s="56">
        <v>1.4</v>
      </c>
      <c r="AL20" s="56">
        <f>AJ20-2.5*LOG10(AK20)</f>
        <v>8.5177999108044045</v>
      </c>
      <c r="AM20" s="56">
        <f t="shared" si="0"/>
        <v>7.416626124248733</v>
      </c>
      <c r="AN20" s="56">
        <f t="shared" si="1"/>
        <v>3.094301120155639</v>
      </c>
      <c r="AO20" s="57">
        <f>AM20-(AVERAGE(IF($AN$4:$AN$25&gt;0,$AN$4:$AN$25)))</f>
        <v>4.3801788008925504</v>
      </c>
      <c r="AP20" s="58">
        <f>ABS(AO20-AG20)</f>
        <v>5.7853796799456347E-2</v>
      </c>
      <c r="AQ20" s="59">
        <v>1.7743794052105299</v>
      </c>
      <c r="AR20" s="60">
        <f>AG20-W20</f>
        <v>0.45232500409309395</v>
      </c>
      <c r="AS20" s="52" t="s">
        <v>86</v>
      </c>
      <c r="AT20" s="47" t="s">
        <v>87</v>
      </c>
      <c r="AU20" s="47"/>
    </row>
    <row r="21" spans="1:61" x14ac:dyDescent="0.3">
      <c r="A21" s="6" t="s">
        <v>100</v>
      </c>
      <c r="B21" s="1">
        <v>0.84722222222222221</v>
      </c>
      <c r="C21" s="6" t="s">
        <v>41</v>
      </c>
      <c r="D21" s="6" t="s">
        <v>26</v>
      </c>
      <c r="E21" s="6" t="s">
        <v>42</v>
      </c>
      <c r="F21" s="6" t="s">
        <v>32</v>
      </c>
      <c r="G21" s="6">
        <v>23</v>
      </c>
      <c r="H21" s="6" t="s">
        <v>16</v>
      </c>
      <c r="I21" s="6" t="s">
        <v>128</v>
      </c>
      <c r="J21" s="7">
        <v>4</v>
      </c>
      <c r="K21" s="7" t="s">
        <v>16</v>
      </c>
      <c r="L21" s="3" t="s">
        <v>16</v>
      </c>
      <c r="M21" s="7" t="s">
        <v>16</v>
      </c>
      <c r="N21" s="8">
        <v>5</v>
      </c>
      <c r="O21" s="8">
        <v>35</v>
      </c>
      <c r="P21" s="9">
        <v>22.9</v>
      </c>
      <c r="Q21" s="6" t="s">
        <v>16</v>
      </c>
      <c r="R21" s="8">
        <v>5</v>
      </c>
      <c r="S21" s="8">
        <v>24</v>
      </c>
      <c r="T21" s="9">
        <v>57.8</v>
      </c>
      <c r="U21" s="13">
        <v>83.822083329999998</v>
      </c>
      <c r="V21" s="13">
        <v>-5.3911111099999998</v>
      </c>
      <c r="W21" s="6">
        <v>4.9800000000000004</v>
      </c>
      <c r="X21" s="6">
        <v>-9.7000000000000003E-2</v>
      </c>
      <c r="Y21" s="13">
        <f>(W21-(0.42*X21))+0.11</f>
        <v>5.1307400000000003</v>
      </c>
      <c r="Z21" s="13">
        <f>(W21+(0.6*X21))-0.13</f>
        <v>4.7918000000000003</v>
      </c>
      <c r="AA21" s="13">
        <f>Z21-Y21</f>
        <v>-0.33894000000000002</v>
      </c>
      <c r="AB21" s="13">
        <f>Y21-(0.1837*AA21)-0.0971</f>
        <v>5.0959032779999998</v>
      </c>
      <c r="AC21" s="13">
        <f>(Y21-0.1439-AB21)/0.2936</f>
        <v>-0.37146893051771052</v>
      </c>
      <c r="AD21" s="13">
        <f>Y21-(1.2444*AC21)-0.382</f>
        <v>5.2109959371362393</v>
      </c>
      <c r="AE21" s="13">
        <f>-AB21-AD21</f>
        <v>-10.306899215136239</v>
      </c>
      <c r="AF21" s="13">
        <f>(1.07*AE21)-0.228</f>
        <v>-11.256382160195777</v>
      </c>
      <c r="AG21" s="21">
        <f>Y21-(0.035*(AF21-0.21))</f>
        <v>5.5320633756068522</v>
      </c>
      <c r="AH21" s="19"/>
      <c r="AI21" s="19"/>
      <c r="AJ21" s="25">
        <v>9.7761800000000001</v>
      </c>
      <c r="AK21" s="25"/>
      <c r="AL21" s="25"/>
      <c r="AM21" s="25">
        <f t="shared" si="0"/>
        <v>8.3096861242487332</v>
      </c>
      <c r="AN21" s="25">
        <f t="shared" si="1"/>
        <v>2.777622748641881</v>
      </c>
      <c r="AO21" s="29">
        <f>AM21-(AVERAGE(IF($AN$4:$AN$25&gt;0,$AN$4:$AN$25)))</f>
        <v>5.2732388008925506</v>
      </c>
      <c r="AP21" s="27">
        <f>ABS(AO21-AG21)</f>
        <v>0.25882457471430165</v>
      </c>
      <c r="AQ21" s="20">
        <v>2.6001832173422739</v>
      </c>
      <c r="AS21" s="6" t="s">
        <v>16</v>
      </c>
      <c r="AT21" s="6" t="s">
        <v>88</v>
      </c>
      <c r="AU21" s="6" t="s">
        <v>127</v>
      </c>
    </row>
    <row r="22" spans="1:61" s="43" customFormat="1" x14ac:dyDescent="0.3">
      <c r="A22" s="43" t="s">
        <v>100</v>
      </c>
      <c r="B22" s="1">
        <v>0.88194444444444453</v>
      </c>
      <c r="C22" s="43" t="s">
        <v>41</v>
      </c>
      <c r="D22" s="43" t="s">
        <v>26</v>
      </c>
      <c r="E22" s="43" t="s">
        <v>42</v>
      </c>
      <c r="F22" s="43" t="s">
        <v>32</v>
      </c>
      <c r="G22" s="43">
        <v>26</v>
      </c>
      <c r="H22" s="43" t="s">
        <v>16</v>
      </c>
      <c r="I22" s="43" t="s">
        <v>16</v>
      </c>
      <c r="J22" s="7"/>
      <c r="K22" s="7"/>
      <c r="L22" s="3"/>
      <c r="M22" s="7"/>
      <c r="N22" s="8">
        <v>5</v>
      </c>
      <c r="O22" s="8">
        <v>35</v>
      </c>
      <c r="P22" s="9">
        <v>26.401</v>
      </c>
      <c r="Q22" s="43" t="s">
        <v>16</v>
      </c>
      <c r="R22" s="8">
        <v>5</v>
      </c>
      <c r="S22" s="8">
        <v>25</v>
      </c>
      <c r="T22" s="5">
        <v>0.72</v>
      </c>
      <c r="U22" s="45"/>
      <c r="V22" s="45"/>
      <c r="Y22" s="45"/>
      <c r="Z22" s="45"/>
      <c r="AA22" s="45"/>
      <c r="AB22" s="45"/>
      <c r="AC22" s="45"/>
      <c r="AD22" s="45"/>
      <c r="AE22" s="45"/>
      <c r="AF22" s="45"/>
      <c r="AG22" s="21"/>
      <c r="AH22" s="19"/>
      <c r="AI22" s="19"/>
      <c r="AJ22" s="25">
        <v>9.7086052185658502</v>
      </c>
      <c r="AK22" s="25"/>
      <c r="AL22" s="25"/>
      <c r="AM22" s="25"/>
      <c r="AN22" s="25"/>
      <c r="AO22" s="29"/>
      <c r="AP22" s="27"/>
      <c r="AQ22" s="20"/>
      <c r="AT22" s="43" t="s">
        <v>164</v>
      </c>
      <c r="AU22" s="43" t="s">
        <v>163</v>
      </c>
    </row>
    <row r="23" spans="1:61" x14ac:dyDescent="0.3">
      <c r="A23" s="6" t="s">
        <v>100</v>
      </c>
      <c r="B23" s="1">
        <v>0.96527777777777779</v>
      </c>
      <c r="C23" s="6" t="s">
        <v>89</v>
      </c>
      <c r="D23" s="6" t="s">
        <v>30</v>
      </c>
      <c r="E23" s="6" t="s">
        <v>90</v>
      </c>
      <c r="F23" s="6" t="s">
        <v>85</v>
      </c>
      <c r="G23" s="6">
        <v>27</v>
      </c>
      <c r="H23" s="6" t="s">
        <v>16</v>
      </c>
      <c r="I23" s="6">
        <v>31635</v>
      </c>
      <c r="J23" s="7">
        <v>9.6</v>
      </c>
      <c r="K23" s="7" t="s">
        <v>16</v>
      </c>
      <c r="L23" s="3" t="s">
        <v>16</v>
      </c>
      <c r="M23" s="7" t="s">
        <v>16</v>
      </c>
      <c r="N23" s="8">
        <v>6</v>
      </c>
      <c r="O23" s="8">
        <v>37</v>
      </c>
      <c r="P23" s="9">
        <v>10.199999999999999</v>
      </c>
      <c r="Q23" s="6" t="s">
        <v>22</v>
      </c>
      <c r="R23" s="8">
        <v>17</v>
      </c>
      <c r="S23" s="8">
        <v>33</v>
      </c>
      <c r="T23" s="9">
        <v>57</v>
      </c>
      <c r="U23" s="13">
        <v>99.294967499999998</v>
      </c>
      <c r="V23" s="13">
        <v>17.56480139</v>
      </c>
      <c r="W23" s="13">
        <v>9.6300000000000008</v>
      </c>
      <c r="X23" s="13">
        <v>1.48</v>
      </c>
      <c r="Y23" s="13">
        <f>(W23-(0.42*X23))+0.11</f>
        <v>9.1184000000000012</v>
      </c>
      <c r="Z23" s="13">
        <f>(W23+(0.6*X23))-0.13</f>
        <v>10.388</v>
      </c>
      <c r="AA23" s="13">
        <f>Z23-Y23</f>
        <v>1.2695999999999987</v>
      </c>
      <c r="AB23" s="13">
        <f>Y23-(0.1837*AA23)-0.0971</f>
        <v>8.7880744800000024</v>
      </c>
      <c r="AC23" s="13">
        <f>(Y23-0.1439-AB23)/0.2936</f>
        <v>0.63496430517710645</v>
      </c>
      <c r="AD23" s="13">
        <f>Y23-(1.2444*AC23)-0.382</f>
        <v>7.9462504186376108</v>
      </c>
      <c r="AE23" s="13">
        <f>-AB23-AD23</f>
        <v>-16.734324898637613</v>
      </c>
      <c r="AF23" s="13">
        <f>(1.07*AE23)-0.228</f>
        <v>-18.133727641542247</v>
      </c>
      <c r="AG23" s="21">
        <f>Y23-(0.035*(AF23-0.21))</f>
        <v>9.760430467453979</v>
      </c>
      <c r="AH23" s="19"/>
      <c r="AI23" s="19">
        <v>9.0069999999999997</v>
      </c>
      <c r="AJ23" s="25">
        <v>14.2029</v>
      </c>
      <c r="AK23" s="25">
        <v>1.4</v>
      </c>
      <c r="AL23" s="25">
        <f>AJ23-2.5*LOG10(AK23)</f>
        <v>13.837579910804404</v>
      </c>
      <c r="AM23" s="25">
        <f t="shared" si="0"/>
        <v>12.736406124248733</v>
      </c>
      <c r="AN23" s="25">
        <f t="shared" si="1"/>
        <v>2.9759756567947537</v>
      </c>
      <c r="AO23" s="29">
        <f>AM23-(AVERAGE(IF($AN$4:$AN$25&gt;0,$AN$4:$AN$25)))</f>
        <v>9.6999588008925492</v>
      </c>
      <c r="AP23" s="27">
        <f>ABS(AO23-AG23)</f>
        <v>6.0471666561429771E-2</v>
      </c>
      <c r="AQ23" s="20">
        <v>1.7709606052189542</v>
      </c>
      <c r="AR23" s="14">
        <f>AG23-W23</f>
        <v>0.13043046745397824</v>
      </c>
      <c r="AS23" s="15" t="s">
        <v>91</v>
      </c>
      <c r="AT23" s="6" t="s">
        <v>92</v>
      </c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</row>
    <row r="24" spans="1:61" x14ac:dyDescent="0.3">
      <c r="A24" s="6" t="s">
        <v>100</v>
      </c>
      <c r="B24" s="1">
        <v>0.98611111111111116</v>
      </c>
      <c r="C24" s="6" t="s">
        <v>78</v>
      </c>
      <c r="D24" s="6" t="s">
        <v>79</v>
      </c>
      <c r="E24" s="6" t="s">
        <v>78</v>
      </c>
      <c r="F24" s="6" t="s">
        <v>93</v>
      </c>
      <c r="G24" s="6">
        <v>32</v>
      </c>
      <c r="H24" s="6" t="s">
        <v>16</v>
      </c>
      <c r="I24" s="6" t="s">
        <v>16</v>
      </c>
      <c r="J24" s="7">
        <v>0.84</v>
      </c>
      <c r="K24" s="7" t="s">
        <v>16</v>
      </c>
      <c r="L24" s="3" t="s">
        <v>16</v>
      </c>
      <c r="M24" s="7" t="s">
        <v>16</v>
      </c>
      <c r="N24" s="8">
        <v>13</v>
      </c>
      <c r="O24" s="8">
        <v>1</v>
      </c>
      <c r="P24" s="9">
        <v>13.6</v>
      </c>
      <c r="Q24" s="6" t="s">
        <v>16</v>
      </c>
      <c r="R24" s="8">
        <v>3</v>
      </c>
      <c r="S24" s="8">
        <v>36</v>
      </c>
      <c r="T24" s="9">
        <v>24.2</v>
      </c>
      <c r="U24" s="13">
        <v>195.02044444444445</v>
      </c>
      <c r="V24" s="13">
        <v>-3.6067222222222224</v>
      </c>
      <c r="W24" s="6">
        <v>0.86</v>
      </c>
      <c r="X24" s="6" t="s">
        <v>16</v>
      </c>
      <c r="Y24" s="13"/>
      <c r="Z24" s="13"/>
      <c r="AA24" s="13"/>
      <c r="AB24" s="13"/>
      <c r="AC24" s="13"/>
      <c r="AD24" s="13"/>
      <c r="AE24" s="13"/>
      <c r="AF24" s="13"/>
      <c r="AG24" s="22"/>
      <c r="AH24" s="19"/>
      <c r="AI24" s="19"/>
      <c r="AJ24" s="25"/>
      <c r="AK24" s="25"/>
      <c r="AL24" s="25"/>
      <c r="AM24" s="25"/>
      <c r="AN24" s="25"/>
      <c r="AO24" s="25"/>
      <c r="AP24" s="25"/>
      <c r="AQ24" s="25"/>
      <c r="AS24" s="9" t="s">
        <v>16</v>
      </c>
      <c r="AT24" s="43" t="s">
        <v>160</v>
      </c>
      <c r="AU24" s="6" t="s">
        <v>94</v>
      </c>
    </row>
    <row r="25" spans="1:61" x14ac:dyDescent="0.3">
      <c r="A25" s="6" t="s">
        <v>100</v>
      </c>
      <c r="B25" s="1">
        <v>0.99930555555555556</v>
      </c>
      <c r="C25" s="6" t="s">
        <v>95</v>
      </c>
      <c r="D25" s="6" t="s">
        <v>96</v>
      </c>
      <c r="E25" s="6" t="s">
        <v>97</v>
      </c>
      <c r="F25" s="6" t="s">
        <v>98</v>
      </c>
      <c r="G25" s="6">
        <v>23</v>
      </c>
      <c r="H25" s="6" t="s">
        <v>16</v>
      </c>
      <c r="I25" s="6" t="s">
        <v>16</v>
      </c>
      <c r="J25" s="7" t="s">
        <v>97</v>
      </c>
      <c r="K25" s="7" t="s">
        <v>16</v>
      </c>
      <c r="L25" s="3" t="s">
        <v>16</v>
      </c>
      <c r="M25" s="7" t="s">
        <v>16</v>
      </c>
      <c r="N25" s="8">
        <v>2</v>
      </c>
      <c r="O25" s="4">
        <v>0</v>
      </c>
      <c r="P25" s="9">
        <v>40.200000000000003</v>
      </c>
      <c r="Q25" s="6" t="s">
        <v>22</v>
      </c>
      <c r="R25" s="8">
        <v>58</v>
      </c>
      <c r="S25" s="8">
        <v>31</v>
      </c>
      <c r="T25" s="9">
        <v>37</v>
      </c>
      <c r="U25">
        <v>316.04510417</v>
      </c>
      <c r="V25">
        <v>-11.36337778</v>
      </c>
      <c r="W25" s="6" t="s">
        <v>16</v>
      </c>
      <c r="X25" s="6" t="s">
        <v>16</v>
      </c>
      <c r="AG25" s="23"/>
      <c r="AJ25" s="26"/>
      <c r="AK25" s="26"/>
      <c r="AL25" s="26"/>
      <c r="AM25" s="25"/>
      <c r="AN25" s="26"/>
      <c r="AO25" s="26"/>
      <c r="AP25" s="26"/>
      <c r="AQ25" s="26"/>
      <c r="AS25" s="9" t="s">
        <v>97</v>
      </c>
      <c r="AT25" s="6" t="s">
        <v>99</v>
      </c>
      <c r="AU25" s="6" t="s">
        <v>137</v>
      </c>
    </row>
    <row r="27" spans="1:61" ht="15.75" thickBot="1" x14ac:dyDescent="0.35"/>
    <row r="28" spans="1:61" ht="15.75" thickBot="1" x14ac:dyDescent="0.35">
      <c r="Y28" s="33"/>
      <c r="Z28" s="34"/>
      <c r="AA28" s="34"/>
      <c r="AB28" s="34"/>
      <c r="AC28" s="34"/>
      <c r="AD28" s="34"/>
      <c r="AE28" s="34"/>
      <c r="AF28" s="34"/>
      <c r="AG28" s="33"/>
      <c r="AH28" s="34"/>
      <c r="AI28" s="34"/>
      <c r="AJ28" s="62" t="s">
        <v>136</v>
      </c>
      <c r="AK28" s="63"/>
      <c r="AL28" s="63"/>
      <c r="AM28" s="63"/>
      <c r="AN28" s="31">
        <f>(AN4+AN6+AN7+AN10+AN11+AN12+AN13+AN14+AN15+AN16+AN17+AN18+AN20+AN21+AN23)/15</f>
        <v>3.0364473233561826</v>
      </c>
    </row>
    <row r="29" spans="1:61" x14ac:dyDescent="0.3">
      <c r="AN29" s="32"/>
    </row>
    <row r="30" spans="1:61" x14ac:dyDescent="0.3"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 t="s">
        <v>142</v>
      </c>
      <c r="AK30" s="35"/>
      <c r="AL30" s="35"/>
      <c r="AM30" s="35"/>
      <c r="AN30" s="35"/>
      <c r="AO30" s="35"/>
    </row>
    <row r="31" spans="1:61" x14ac:dyDescent="0.3"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 t="s">
        <v>143</v>
      </c>
      <c r="AK31" s="35"/>
      <c r="AL31" s="35"/>
      <c r="AM31" s="35"/>
      <c r="AN31" s="35"/>
      <c r="AO31" s="35"/>
    </row>
  </sheetData>
  <autoFilter ref="A3:AU25">
    <sortState ref="A4:AS24">
      <sortCondition ref="A3:A24"/>
    </sortState>
  </autoFilter>
  <mergeCells count="7">
    <mergeCell ref="N1:P1"/>
    <mergeCell ref="Q1:T1"/>
    <mergeCell ref="AJ28:AM28"/>
    <mergeCell ref="F1:G1"/>
    <mergeCell ref="AV23:BI23"/>
    <mergeCell ref="AX1:BE1"/>
    <mergeCell ref="AX2:B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0"/>
  <sheetViews>
    <sheetView workbookViewId="0">
      <pane ySplit="3" topLeftCell="A4" activePane="bottomLeft" state="frozen"/>
      <selection pane="bottomLeft"/>
    </sheetView>
  </sheetViews>
  <sheetFormatPr defaultColWidth="9.109375" defaultRowHeight="15.05" x14ac:dyDescent="0.3"/>
  <cols>
    <col min="1" max="1" width="9.5546875" style="6" bestFit="1" customWidth="1"/>
    <col min="2" max="2" width="12.33203125" style="41" bestFit="1" customWidth="1"/>
    <col min="3" max="3" width="23.6640625" style="6" bestFit="1" customWidth="1"/>
    <col min="4" max="4" width="12.33203125" style="6" bestFit="1" customWidth="1"/>
    <col min="5" max="5" width="11" style="6" bestFit="1" customWidth="1"/>
    <col min="6" max="6" width="6.109375" style="6" hidden="1" customWidth="1"/>
    <col min="7" max="7" width="3" style="6" hidden="1" customWidth="1"/>
    <col min="8" max="8" width="7" style="6" hidden="1" customWidth="1"/>
    <col min="9" max="9" width="9.109375" style="6"/>
    <col min="10" max="11" width="6.6640625" style="6" hidden="1" customWidth="1"/>
    <col min="12" max="12" width="10.6640625" style="6" hidden="1" customWidth="1"/>
    <col min="13" max="13" width="15.33203125" style="6" hidden="1" customWidth="1"/>
    <col min="14" max="15" width="3" style="6" hidden="1" customWidth="1"/>
    <col min="16" max="16" width="4.5546875" style="6" hidden="1" customWidth="1"/>
    <col min="17" max="17" width="2" style="6" hidden="1" customWidth="1"/>
    <col min="18" max="19" width="3" style="6" hidden="1" customWidth="1"/>
    <col min="20" max="20" width="4.5546875" style="6" hidden="1" customWidth="1"/>
    <col min="21" max="21" width="16.33203125" style="6" hidden="1" customWidth="1"/>
    <col min="22" max="22" width="17.33203125" style="6" hidden="1" customWidth="1"/>
    <col min="23" max="26" width="17.33203125" style="6" customWidth="1"/>
    <col min="27" max="27" width="6" style="6" bestFit="1" customWidth="1"/>
    <col min="28" max="28" width="6.6640625" style="6" bestFit="1" customWidth="1"/>
    <col min="29" max="29" width="8" style="6" hidden="1" customWidth="1"/>
    <col min="30" max="30" width="7" style="6" hidden="1" customWidth="1"/>
    <col min="31" max="31" width="8.6640625" style="6" hidden="1" customWidth="1"/>
    <col min="32" max="36" width="12.6640625" style="6" hidden="1" customWidth="1"/>
    <col min="37" max="37" width="10.6640625" style="18" bestFit="1" customWidth="1"/>
    <col min="38" max="38" width="69.88671875" style="18" hidden="1" customWidth="1"/>
    <col min="39" max="39" width="127.44140625" style="18" hidden="1" customWidth="1"/>
    <col min="40" max="40" width="68.44140625" style="20" hidden="1" customWidth="1"/>
    <col min="41" max="41" width="16.44140625" style="20" hidden="1" customWidth="1"/>
    <col min="42" max="42" width="9.6640625" style="20" hidden="1" customWidth="1"/>
    <col min="43" max="43" width="23.109375" style="20" hidden="1" customWidth="1"/>
    <col min="44" max="44" width="17.5546875" style="20" hidden="1" customWidth="1"/>
    <col min="45" max="45" width="10.5546875" style="20" hidden="1" customWidth="1"/>
    <col min="46" max="46" width="16.44140625" style="20" hidden="1" customWidth="1"/>
    <col min="47" max="47" width="6.33203125" style="6" hidden="1" customWidth="1"/>
    <col min="48" max="48" width="12.88671875" style="6" bestFit="1" customWidth="1"/>
    <col min="49" max="49" width="40.6640625" style="6" bestFit="1" customWidth="1"/>
    <col min="50" max="50" width="81.5546875" style="6" bestFit="1" customWidth="1"/>
    <col min="51" max="16384" width="9.109375" style="6"/>
  </cols>
  <sheetData>
    <row r="1" spans="1:68" x14ac:dyDescent="0.3">
      <c r="A1" s="6" t="s">
        <v>135</v>
      </c>
      <c r="B1" s="41" t="s">
        <v>158</v>
      </c>
      <c r="C1" s="6" t="s">
        <v>1</v>
      </c>
      <c r="D1" s="6" t="s">
        <v>2</v>
      </c>
      <c r="E1" s="6" t="s">
        <v>3</v>
      </c>
      <c r="F1" s="61" t="s">
        <v>4</v>
      </c>
      <c r="G1" s="61"/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1" t="s">
        <v>11</v>
      </c>
      <c r="O1" s="61"/>
      <c r="P1" s="61"/>
      <c r="Q1" s="61" t="s">
        <v>12</v>
      </c>
      <c r="R1" s="61"/>
      <c r="S1" s="61"/>
      <c r="T1" s="61"/>
      <c r="U1" s="38" t="s">
        <v>104</v>
      </c>
      <c r="V1" s="38" t="s">
        <v>105</v>
      </c>
      <c r="W1" s="6" t="s">
        <v>144</v>
      </c>
      <c r="X1" s="6" t="s">
        <v>144</v>
      </c>
      <c r="Y1" s="38" t="s">
        <v>156</v>
      </c>
      <c r="Z1" s="38" t="s">
        <v>157</v>
      </c>
      <c r="AA1" s="13" t="s">
        <v>101</v>
      </c>
      <c r="AB1" s="13" t="s">
        <v>102</v>
      </c>
      <c r="AC1" s="13" t="s">
        <v>107</v>
      </c>
      <c r="AD1" s="13" t="s">
        <v>108</v>
      </c>
      <c r="AE1" s="13" t="s">
        <v>110</v>
      </c>
      <c r="AF1" s="13" t="s">
        <v>109</v>
      </c>
      <c r="AG1" s="13" t="s">
        <v>111</v>
      </c>
      <c r="AH1" s="6" t="s">
        <v>112</v>
      </c>
      <c r="AI1" s="6" t="s">
        <v>113</v>
      </c>
      <c r="AJ1" s="6" t="s">
        <v>114</v>
      </c>
      <c r="AK1" s="18" t="s">
        <v>122</v>
      </c>
      <c r="AL1" s="6" t="s">
        <v>118</v>
      </c>
      <c r="AM1" s="6" t="s">
        <v>119</v>
      </c>
      <c r="AN1" s="20" t="s">
        <v>120</v>
      </c>
      <c r="AO1" s="20" t="s">
        <v>125</v>
      </c>
      <c r="AP1" s="20" t="s">
        <v>122</v>
      </c>
      <c r="AQ1" s="20" t="s">
        <v>139</v>
      </c>
      <c r="AR1" s="20" t="s">
        <v>141</v>
      </c>
      <c r="AS1" s="28" t="s">
        <v>122</v>
      </c>
      <c r="AT1" s="20" t="s">
        <v>131</v>
      </c>
      <c r="AU1" s="6" t="s">
        <v>115</v>
      </c>
      <c r="AV1" s="38" t="s">
        <v>13</v>
      </c>
      <c r="AW1" s="6" t="s">
        <v>14</v>
      </c>
      <c r="AX1" s="6" t="s">
        <v>15</v>
      </c>
      <c r="BA1" s="64" t="s">
        <v>116</v>
      </c>
      <c r="BB1" s="64"/>
      <c r="BC1" s="64"/>
      <c r="BD1" s="64"/>
      <c r="BE1" s="64"/>
      <c r="BF1" s="64"/>
      <c r="BG1" s="64"/>
      <c r="BH1" s="64"/>
    </row>
    <row r="2" spans="1:68" x14ac:dyDescent="0.3">
      <c r="A2" s="6" t="s">
        <v>134</v>
      </c>
      <c r="B2" s="41" t="s">
        <v>159</v>
      </c>
      <c r="F2" s="38"/>
      <c r="G2" s="38"/>
      <c r="N2" s="38"/>
      <c r="O2" s="38"/>
      <c r="P2" s="38"/>
      <c r="Q2" s="38"/>
      <c r="R2" s="38"/>
      <c r="S2" s="38"/>
      <c r="T2" s="38"/>
      <c r="U2" s="38"/>
      <c r="V2" s="38"/>
      <c r="W2" s="6" t="s">
        <v>145</v>
      </c>
      <c r="X2" s="6" t="s">
        <v>153</v>
      </c>
      <c r="Y2" s="38"/>
      <c r="Z2" s="38"/>
      <c r="AA2" s="13" t="s">
        <v>103</v>
      </c>
      <c r="AB2" s="13" t="s">
        <v>103</v>
      </c>
      <c r="AC2" s="13" t="s">
        <v>103</v>
      </c>
      <c r="AD2" s="13" t="s">
        <v>103</v>
      </c>
      <c r="AE2" s="13" t="s">
        <v>103</v>
      </c>
      <c r="AF2" s="13" t="s">
        <v>103</v>
      </c>
      <c r="AG2" s="13" t="s">
        <v>103</v>
      </c>
      <c r="AH2" s="6" t="s">
        <v>103</v>
      </c>
      <c r="AI2" s="6" t="s">
        <v>103</v>
      </c>
      <c r="AJ2" s="6" t="s">
        <v>103</v>
      </c>
      <c r="AK2" s="18" t="s">
        <v>138</v>
      </c>
      <c r="AL2" s="6" t="s">
        <v>103</v>
      </c>
      <c r="AM2" s="6" t="s">
        <v>103</v>
      </c>
      <c r="AN2" s="20" t="s">
        <v>121</v>
      </c>
      <c r="AO2" s="20" t="s">
        <v>124</v>
      </c>
      <c r="AP2" s="20" t="s">
        <v>123</v>
      </c>
      <c r="AQ2" s="20" t="s">
        <v>140</v>
      </c>
      <c r="AR2" s="20" t="s">
        <v>129</v>
      </c>
      <c r="AS2" s="28" t="s">
        <v>132</v>
      </c>
      <c r="AT2" s="20" t="s">
        <v>133</v>
      </c>
      <c r="AU2" s="6" t="s">
        <v>103</v>
      </c>
      <c r="AV2" s="38"/>
      <c r="BA2" s="64" t="s">
        <v>117</v>
      </c>
      <c r="BB2" s="64"/>
      <c r="BC2" s="64"/>
      <c r="BD2" s="64"/>
      <c r="BE2" s="64"/>
      <c r="BF2" s="64"/>
    </row>
    <row r="3" spans="1:68" x14ac:dyDescent="0.3">
      <c r="F3" s="38"/>
      <c r="G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9"/>
      <c r="AL3" s="19"/>
      <c r="AM3" s="19"/>
      <c r="AN3" s="24"/>
      <c r="AO3" s="24"/>
      <c r="AP3" s="24"/>
      <c r="AQ3" s="24"/>
      <c r="AR3" s="24"/>
      <c r="AS3" s="30"/>
      <c r="AT3" s="24"/>
      <c r="AU3" s="13"/>
      <c r="AV3" s="38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</row>
    <row r="4" spans="1:68" x14ac:dyDescent="0.3">
      <c r="A4" s="6" t="s">
        <v>82</v>
      </c>
      <c r="B4" s="44">
        <v>0.84694444444444439</v>
      </c>
      <c r="C4" s="1" t="s">
        <v>18</v>
      </c>
      <c r="D4" s="1" t="s">
        <v>19</v>
      </c>
      <c r="E4" s="6" t="s">
        <v>20</v>
      </c>
      <c r="F4" s="6" t="s">
        <v>17</v>
      </c>
      <c r="G4" s="6">
        <v>47</v>
      </c>
      <c r="H4" s="6">
        <v>96265</v>
      </c>
      <c r="I4" s="6" t="s">
        <v>21</v>
      </c>
      <c r="J4" s="7">
        <v>4.79</v>
      </c>
      <c r="K4" s="7">
        <v>7.8</v>
      </c>
      <c r="L4" s="3">
        <v>7.2</v>
      </c>
      <c r="M4" s="7">
        <v>6.28</v>
      </c>
      <c r="N4" s="8">
        <v>6</v>
      </c>
      <c r="O4" s="8">
        <v>54</v>
      </c>
      <c r="P4" s="9">
        <v>38.9</v>
      </c>
      <c r="Q4" s="6" t="s">
        <v>22</v>
      </c>
      <c r="R4" s="8">
        <v>13</v>
      </c>
      <c r="S4" s="8">
        <v>10</v>
      </c>
      <c r="T4" s="9">
        <v>34</v>
      </c>
      <c r="U4" s="13">
        <v>103.66098292</v>
      </c>
      <c r="V4" s="13">
        <v>13.177827219999999</v>
      </c>
      <c r="W4" s="13">
        <v>7.0462720000000001</v>
      </c>
      <c r="X4" s="13">
        <v>5.1023851660549022</v>
      </c>
      <c r="Y4" s="45">
        <v>51.590729666690237</v>
      </c>
      <c r="Z4" s="42">
        <v>186.04145296298816</v>
      </c>
      <c r="AA4" s="42">
        <v>4.7300000000000004</v>
      </c>
      <c r="AB4" s="42">
        <v>0.32100000000000001</v>
      </c>
      <c r="AC4" s="42">
        <f>(AA4-(0.42*AB4))+0.11</f>
        <v>4.7051800000000004</v>
      </c>
      <c r="AD4" s="42">
        <f>(AA4+(0.6*AB4))-0.13</f>
        <v>4.7926000000000002</v>
      </c>
      <c r="AE4" s="13">
        <f>AD4-AC4</f>
        <v>8.7419999999999831E-2</v>
      </c>
      <c r="AF4" s="13">
        <f>AC4-(0.1837*AE4)-0.0971</f>
        <v>4.5920209459999999</v>
      </c>
      <c r="AG4" s="13">
        <f>(AC4-0.1439-AF4)/0.2936</f>
        <v>-0.1047034945504083</v>
      </c>
      <c r="AH4" s="13">
        <f>AC4-(1.2444*AG4)-0.382</f>
        <v>4.4534730286185287</v>
      </c>
      <c r="AI4" s="13">
        <f>-AF4-AH4</f>
        <v>-9.0454939746185286</v>
      </c>
      <c r="AJ4" s="13">
        <f>(1.07*AI4)-0.228</f>
        <v>-9.9066785528418251</v>
      </c>
      <c r="AK4" s="39">
        <f>AC4-(0.035*(AJ4-0.21))</f>
        <v>5.0592637493494639</v>
      </c>
      <c r="AL4" s="19"/>
      <c r="AM4" s="19"/>
      <c r="AN4" s="25">
        <v>9.2993199999999998</v>
      </c>
      <c r="AO4" s="25"/>
      <c r="AP4" s="25"/>
      <c r="AQ4" s="25">
        <f>AN4-(LOG(2.3*(5/3),2.5))</f>
        <v>7.8328261242487329</v>
      </c>
      <c r="AR4" s="25">
        <f>AQ4-AK4</f>
        <v>2.773562374899269</v>
      </c>
      <c r="AS4" s="29">
        <f>AQ4-(AVERAGE(IF($AR$4:$AR$23&gt;0,$AR$4:$AR$23)))</f>
        <v>4.7963788008925503</v>
      </c>
      <c r="AT4" s="27">
        <f>ABS(AS4-AK4)</f>
        <v>0.26288494845691357</v>
      </c>
      <c r="AU4" s="14">
        <f>AK4-AA4</f>
        <v>0.32926374934946345</v>
      </c>
      <c r="AV4" s="6" t="s">
        <v>23</v>
      </c>
      <c r="AW4" s="6" t="s">
        <v>24</v>
      </c>
      <c r="AX4" s="6" t="s">
        <v>19</v>
      </c>
    </row>
    <row r="5" spans="1:68" x14ac:dyDescent="0.3">
      <c r="A5" s="6" t="s">
        <v>82</v>
      </c>
      <c r="C5" s="6" t="s">
        <v>25</v>
      </c>
      <c r="D5" s="6" t="s">
        <v>26</v>
      </c>
      <c r="E5" s="6" t="s">
        <v>27</v>
      </c>
      <c r="F5" s="6" t="s">
        <v>28</v>
      </c>
      <c r="G5" s="6">
        <v>25</v>
      </c>
      <c r="H5" s="6" t="s">
        <v>16</v>
      </c>
      <c r="I5" s="6" t="s">
        <v>16</v>
      </c>
      <c r="J5" s="7">
        <v>3.5</v>
      </c>
      <c r="K5" s="7" t="s">
        <v>16</v>
      </c>
      <c r="L5" s="3" t="s">
        <v>16</v>
      </c>
      <c r="M5" s="7" t="s">
        <v>16</v>
      </c>
      <c r="N5" s="4">
        <v>0</v>
      </c>
      <c r="O5" s="8">
        <v>42</v>
      </c>
      <c r="P5" s="9">
        <v>42</v>
      </c>
      <c r="Q5" s="6" t="s">
        <v>22</v>
      </c>
      <c r="R5" s="8">
        <v>41</v>
      </c>
      <c r="S5" s="8">
        <v>16</v>
      </c>
      <c r="T5" s="5">
        <v>0</v>
      </c>
      <c r="U5" s="13">
        <v>10.684708329999999</v>
      </c>
      <c r="V5" s="13">
        <v>41.268749999999997</v>
      </c>
      <c r="W5" s="13"/>
      <c r="X5" s="13"/>
      <c r="Y5" s="45"/>
      <c r="Z5" s="42"/>
      <c r="AA5" s="43" t="s">
        <v>16</v>
      </c>
      <c r="AB5" s="43" t="s">
        <v>16</v>
      </c>
      <c r="AC5" s="42"/>
      <c r="AD5" s="42"/>
      <c r="AE5" s="13"/>
      <c r="AF5" s="13"/>
      <c r="AG5" s="13"/>
      <c r="AH5" s="13"/>
      <c r="AI5" s="13"/>
      <c r="AJ5" s="13"/>
      <c r="AK5" s="39"/>
      <c r="AL5" s="19"/>
      <c r="AM5" s="19"/>
      <c r="AN5" s="25"/>
      <c r="AO5" s="25"/>
      <c r="AP5" s="25"/>
      <c r="AQ5" s="25"/>
      <c r="AR5" s="25"/>
      <c r="AS5" s="29"/>
      <c r="AT5" s="27"/>
      <c r="AV5" s="6" t="s">
        <v>16</v>
      </c>
      <c r="AW5" s="6" t="s">
        <v>29</v>
      </c>
    </row>
    <row r="6" spans="1:68" x14ac:dyDescent="0.3">
      <c r="A6" s="6" t="s">
        <v>82</v>
      </c>
      <c r="B6" s="44">
        <v>0.86872685185185183</v>
      </c>
      <c r="C6" s="6" t="s">
        <v>16</v>
      </c>
      <c r="D6" s="6" t="s">
        <v>30</v>
      </c>
      <c r="E6" s="6" t="s">
        <v>31</v>
      </c>
      <c r="F6" s="6" t="s">
        <v>32</v>
      </c>
      <c r="G6" s="6">
        <v>41</v>
      </c>
      <c r="H6" s="6">
        <v>113271</v>
      </c>
      <c r="I6" s="6">
        <v>27989</v>
      </c>
      <c r="J6" s="7">
        <v>0.45</v>
      </c>
      <c r="K6" s="7" t="s">
        <v>16</v>
      </c>
      <c r="L6" s="3" t="s">
        <v>16</v>
      </c>
      <c r="M6" s="7" t="s">
        <v>16</v>
      </c>
      <c r="N6" s="8">
        <v>5</v>
      </c>
      <c r="O6" s="8">
        <v>55</v>
      </c>
      <c r="P6" s="9">
        <v>10.3</v>
      </c>
      <c r="Q6" s="6" t="s">
        <v>22</v>
      </c>
      <c r="R6" s="8">
        <v>7</v>
      </c>
      <c r="S6" s="8">
        <v>24</v>
      </c>
      <c r="T6" s="9">
        <v>25.5</v>
      </c>
      <c r="U6" s="13">
        <v>88.792938750000005</v>
      </c>
      <c r="V6" s="13">
        <v>7.4070627800000004</v>
      </c>
      <c r="W6" s="13">
        <v>7.7509199999999998</v>
      </c>
      <c r="X6" s="13">
        <v>5.6126387444705879</v>
      </c>
      <c r="Y6" s="45">
        <v>40.79798595134578</v>
      </c>
      <c r="Z6" s="42">
        <v>215.88731865452436</v>
      </c>
      <c r="AA6" s="42">
        <v>0.45</v>
      </c>
      <c r="AB6" s="42">
        <v>1.5</v>
      </c>
      <c r="AC6" s="42">
        <f>(AA6-(0.42*AB6))+0.11</f>
        <v>-6.9999999999999993E-2</v>
      </c>
      <c r="AD6" s="42">
        <f>(AA6+(0.6*AB6))-0.13</f>
        <v>1.2199999999999998</v>
      </c>
      <c r="AE6" s="13">
        <f>AD6-AC6</f>
        <v>1.2899999999999998</v>
      </c>
      <c r="AF6" s="13">
        <f>AC6-(0.1837*AE6)-0.0971</f>
        <v>-0.40407299999999996</v>
      </c>
      <c r="AG6" s="13">
        <f>(AC6-0.1439-AF6)/0.2936</f>
        <v>0.64772820163487721</v>
      </c>
      <c r="AH6" s="13">
        <f>AC6-(1.2444*AG6)-0.382</f>
        <v>-1.2580329741144411</v>
      </c>
      <c r="AI6" s="13">
        <f>-AF6-AH6</f>
        <v>1.6621059741144411</v>
      </c>
      <c r="AJ6" s="13">
        <f>(1.07*AI6)-0.228</f>
        <v>1.5504533923024522</v>
      </c>
      <c r="AK6" s="39">
        <f>AC6-(0.035*(AJ6-0.21))</f>
        <v>-0.11691586873058582</v>
      </c>
      <c r="AL6" s="19"/>
      <c r="AM6" s="19"/>
      <c r="AN6" s="25">
        <v>4.5811500000000001</v>
      </c>
      <c r="AO6" s="25"/>
      <c r="AP6" s="25"/>
      <c r="AQ6" s="25">
        <f t="shared" ref="AQ6:AQ21" si="0">AN6-(LOG(2.3*(5/3),2.5))</f>
        <v>3.1146561242487332</v>
      </c>
      <c r="AR6" s="25">
        <f t="shared" ref="AR6:AR21" si="1">AQ6-AK6</f>
        <v>3.231571992979319</v>
      </c>
      <c r="AS6" s="29">
        <f>AQ6-(AVERAGE(IF($AR$4:$AR$23&gt;0,$AR$4:$AR$23)))</f>
        <v>7.8208800892550556E-2</v>
      </c>
      <c r="AT6" s="27">
        <f>ABS(AS6-AK6)</f>
        <v>0.19512466962313638</v>
      </c>
      <c r="AU6" s="14">
        <f>AK6-AA6</f>
        <v>-0.56691586873058586</v>
      </c>
      <c r="AV6" s="9" t="s">
        <v>33</v>
      </c>
      <c r="AW6" s="6" t="s">
        <v>34</v>
      </c>
    </row>
    <row r="7" spans="1:68" x14ac:dyDescent="0.3">
      <c r="A7" s="6" t="s">
        <v>82</v>
      </c>
      <c r="B7" s="44">
        <v>0.874886574074074</v>
      </c>
      <c r="C7" s="6" t="s">
        <v>35</v>
      </c>
      <c r="D7" s="1" t="s">
        <v>19</v>
      </c>
      <c r="E7" s="6" t="s">
        <v>36</v>
      </c>
      <c r="F7" s="6" t="s">
        <v>32</v>
      </c>
      <c r="G7" s="6">
        <v>31</v>
      </c>
      <c r="H7" s="6">
        <v>132220</v>
      </c>
      <c r="I7" s="6" t="s">
        <v>37</v>
      </c>
      <c r="J7" s="7">
        <v>2.41</v>
      </c>
      <c r="K7" s="7">
        <v>3.76</v>
      </c>
      <c r="L7" s="3">
        <v>0.3</v>
      </c>
      <c r="M7" s="7" t="s">
        <v>38</v>
      </c>
      <c r="N7" s="8">
        <v>5</v>
      </c>
      <c r="O7" s="8">
        <v>32</v>
      </c>
      <c r="P7" s="9">
        <v>0.4</v>
      </c>
      <c r="Q7" s="6" t="s">
        <v>16</v>
      </c>
      <c r="R7" s="4">
        <v>0</v>
      </c>
      <c r="S7" s="8">
        <v>17</v>
      </c>
      <c r="T7" s="9">
        <v>56.7</v>
      </c>
      <c r="U7" s="13">
        <v>83.001669579999998</v>
      </c>
      <c r="V7" s="13">
        <v>-0.29909194</v>
      </c>
      <c r="W7" s="13">
        <v>8.9725099999999998</v>
      </c>
      <c r="X7" s="13">
        <v>6.4972232020392156</v>
      </c>
      <c r="Y7" s="45">
        <v>30.583954336833067</v>
      </c>
      <c r="Z7" s="42">
        <v>221.26622949305704</v>
      </c>
      <c r="AA7" s="42">
        <v>2.25</v>
      </c>
      <c r="AB7" s="42">
        <v>-0.17499999999999999</v>
      </c>
      <c r="AC7" s="42">
        <f>(AA7-(0.42*AB7))+0.11</f>
        <v>2.4335</v>
      </c>
      <c r="AD7" s="42">
        <f>(AA7+(0.6*AB7))-0.13</f>
        <v>2.0150000000000001</v>
      </c>
      <c r="AE7" s="13">
        <f>AD7-AC7</f>
        <v>-0.41849999999999987</v>
      </c>
      <c r="AF7" s="13">
        <f>AC7-(0.1837*AE7)-0.0971</f>
        <v>2.41327845</v>
      </c>
      <c r="AG7" s="13">
        <f>(AC7-0.1439-AF7)/0.2936</f>
        <v>-0.42124812670299683</v>
      </c>
      <c r="AH7" s="13">
        <f>AC7-(1.2444*AG7)-0.382</f>
        <v>2.5757011688692093</v>
      </c>
      <c r="AI7" s="13">
        <f>-AF7-AH7</f>
        <v>-4.9889796188692088</v>
      </c>
      <c r="AJ7" s="13">
        <f>(1.07*AI7)-0.228</f>
        <v>-5.5662081921900537</v>
      </c>
      <c r="AK7" s="39">
        <f>AC7-(0.035*(AJ7-0.21))</f>
        <v>2.635667286726652</v>
      </c>
      <c r="AL7" s="19"/>
      <c r="AM7" s="19"/>
      <c r="AN7" s="25">
        <v>7.2725</v>
      </c>
      <c r="AO7" s="25"/>
      <c r="AP7" s="25"/>
      <c r="AQ7" s="25">
        <f t="shared" si="0"/>
        <v>5.8060061242487331</v>
      </c>
      <c r="AR7" s="25">
        <f t="shared" si="1"/>
        <v>3.1703388375220811</v>
      </c>
      <c r="AS7" s="29">
        <f>AQ7-(AVERAGE(IF($AR$4:$AR$23&gt;0,$AR$4:$AR$23)))</f>
        <v>2.7695588008925505</v>
      </c>
      <c r="AT7" s="27">
        <f>ABS(AS7-AK7)</f>
        <v>0.13389151416589851</v>
      </c>
      <c r="AU7" s="14">
        <f>AK7-AA7</f>
        <v>0.38566728672665196</v>
      </c>
      <c r="AV7" s="9" t="s">
        <v>39</v>
      </c>
      <c r="AW7" s="6" t="s">
        <v>40</v>
      </c>
      <c r="AX7" s="6" t="s">
        <v>19</v>
      </c>
    </row>
    <row r="8" spans="1:68" x14ac:dyDescent="0.3">
      <c r="A8" s="6" t="s">
        <v>82</v>
      </c>
      <c r="B8" s="44">
        <v>0.89467078189300409</v>
      </c>
      <c r="C8" s="6" t="s">
        <v>41</v>
      </c>
      <c r="D8" s="6" t="s">
        <v>26</v>
      </c>
      <c r="E8" s="6" t="s">
        <v>42</v>
      </c>
      <c r="F8" s="6" t="s">
        <v>32</v>
      </c>
      <c r="G8" s="6">
        <v>25</v>
      </c>
      <c r="H8" s="6" t="s">
        <v>16</v>
      </c>
      <c r="I8" s="43" t="s">
        <v>128</v>
      </c>
      <c r="J8" s="7">
        <v>4</v>
      </c>
      <c r="K8" s="7" t="s">
        <v>16</v>
      </c>
      <c r="L8" s="3" t="s">
        <v>16</v>
      </c>
      <c r="M8" s="7" t="s">
        <v>16</v>
      </c>
      <c r="N8" s="8">
        <v>5</v>
      </c>
      <c r="O8" s="8">
        <v>35</v>
      </c>
      <c r="P8" s="9">
        <v>24</v>
      </c>
      <c r="Q8" s="6" t="s">
        <v>16</v>
      </c>
      <c r="R8" s="8">
        <v>5</v>
      </c>
      <c r="S8" s="8">
        <v>27</v>
      </c>
      <c r="T8" s="5">
        <v>0</v>
      </c>
      <c r="U8" s="13">
        <v>83.822083329999998</v>
      </c>
      <c r="V8" s="13">
        <v>-5.3911111099999998</v>
      </c>
      <c r="W8" s="13">
        <v>9.522934444444445</v>
      </c>
      <c r="X8" s="13">
        <v>6.8957995726884533</v>
      </c>
      <c r="Y8" s="45">
        <v>23.241011134256798</v>
      </c>
      <c r="Z8" s="42">
        <v>225.17123073486243</v>
      </c>
      <c r="AA8" s="43" t="s">
        <v>16</v>
      </c>
      <c r="AB8" s="43" t="s">
        <v>16</v>
      </c>
      <c r="AC8" s="42"/>
      <c r="AD8" s="42"/>
      <c r="AE8" s="13"/>
      <c r="AF8" s="13"/>
      <c r="AG8" s="13"/>
      <c r="AH8" s="13"/>
      <c r="AI8" s="13"/>
      <c r="AJ8" s="13"/>
      <c r="AK8" s="39"/>
      <c r="AL8" s="19"/>
      <c r="AM8" s="19"/>
      <c r="AN8" s="25"/>
      <c r="AO8" s="25"/>
      <c r="AP8" s="25"/>
      <c r="AQ8" s="25"/>
      <c r="AR8" s="25"/>
      <c r="AS8" s="29"/>
      <c r="AT8" s="27"/>
      <c r="AV8" s="6" t="s">
        <v>16</v>
      </c>
      <c r="AW8" s="6" t="s">
        <v>43</v>
      </c>
      <c r="AX8" s="6" t="s">
        <v>126</v>
      </c>
    </row>
    <row r="9" spans="1:68" x14ac:dyDescent="0.3">
      <c r="A9" s="6" t="s">
        <v>82</v>
      </c>
      <c r="B9" s="44">
        <v>0.9119328703703703</v>
      </c>
      <c r="C9" s="6" t="s">
        <v>44</v>
      </c>
      <c r="D9" s="6" t="s">
        <v>30</v>
      </c>
      <c r="E9" s="6" t="s">
        <v>45</v>
      </c>
      <c r="F9" s="6" t="s">
        <v>32</v>
      </c>
      <c r="G9" s="6">
        <v>25</v>
      </c>
      <c r="H9" s="6">
        <v>132346</v>
      </c>
      <c r="I9" s="6">
        <v>26311</v>
      </c>
      <c r="J9" s="7">
        <v>1.65</v>
      </c>
      <c r="K9" s="7" t="s">
        <v>16</v>
      </c>
      <c r="L9" s="3" t="s">
        <v>16</v>
      </c>
      <c r="M9" s="7" t="s">
        <v>16</v>
      </c>
      <c r="N9" s="8">
        <v>5</v>
      </c>
      <c r="O9" s="8">
        <v>36</v>
      </c>
      <c r="P9" s="9">
        <v>12.8</v>
      </c>
      <c r="Q9" s="6" t="s">
        <v>16</v>
      </c>
      <c r="R9" s="8">
        <v>1</v>
      </c>
      <c r="S9" s="8">
        <v>12</v>
      </c>
      <c r="T9" s="9">
        <v>6.9</v>
      </c>
      <c r="U9" s="13">
        <v>84.053389580000001</v>
      </c>
      <c r="V9" s="13">
        <v>-1.20191972</v>
      </c>
      <c r="W9" s="13">
        <v>11.170500000000001</v>
      </c>
      <c r="X9" s="13">
        <v>8.0888437882352946</v>
      </c>
      <c r="Y9" s="45">
        <v>24.146936781712085</v>
      </c>
      <c r="Z9" s="42">
        <v>233.15438731551598</v>
      </c>
      <c r="AA9" s="42">
        <v>1.69</v>
      </c>
      <c r="AB9" s="42">
        <v>-0.184</v>
      </c>
      <c r="AC9" s="42">
        <f t="shared" ref="AC9:AC17" si="2">(AA9-(0.42*AB9))+0.11</f>
        <v>1.8772800000000001</v>
      </c>
      <c r="AD9" s="42">
        <f t="shared" ref="AD9:AD17" si="3">(AA9+(0.6*AB9))-0.13</f>
        <v>1.4495999999999998</v>
      </c>
      <c r="AE9" s="13">
        <f t="shared" ref="AE9:AE17" si="4">AD9-AC9</f>
        <v>-0.42768000000000028</v>
      </c>
      <c r="AF9" s="13">
        <f t="shared" ref="AF9:AF17" si="5">AC9-(0.1837*AE9)-0.0971</f>
        <v>1.8587448160000002</v>
      </c>
      <c r="AG9" s="13">
        <f t="shared" ref="AG9:AG17" si="6">(AC9-0.1439-AF9)/0.2936</f>
        <v>-0.42699188010899192</v>
      </c>
      <c r="AH9" s="13">
        <f t="shared" ref="AH9:AH17" si="7">AC9-(1.2444*AG9)-0.382</f>
        <v>2.0266286956076294</v>
      </c>
      <c r="AI9" s="13">
        <f t="shared" ref="AI9:AI17" si="8">-AF9-AH9</f>
        <v>-3.8853735116076296</v>
      </c>
      <c r="AJ9" s="13">
        <f t="shared" ref="AJ9:AJ17" si="9">(1.07*AI9)-0.228</f>
        <v>-4.3853496574201634</v>
      </c>
      <c r="AK9" s="39">
        <f t="shared" ref="AK9:AK17" si="10">AC9-(0.035*(AJ9-0.21))</f>
        <v>2.0381172380097059</v>
      </c>
      <c r="AL9" s="19"/>
      <c r="AM9" s="19"/>
      <c r="AN9" s="25">
        <v>6.8370499999999996</v>
      </c>
      <c r="AO9" s="25"/>
      <c r="AP9" s="25"/>
      <c r="AQ9" s="25">
        <f t="shared" si="0"/>
        <v>5.3705561242487327</v>
      </c>
      <c r="AR9" s="25">
        <f t="shared" si="1"/>
        <v>3.3324388862390268</v>
      </c>
      <c r="AS9" s="29">
        <f t="shared" ref="AS9:AS17" si="11">AQ9-(AVERAGE(IF($AR$4:$AR$23&gt;0,$AR$4:$AR$23)))</f>
        <v>2.3341088008925501</v>
      </c>
      <c r="AT9" s="27">
        <f t="shared" ref="AT9:AT17" si="12">ABS(AS9-AK9)</f>
        <v>0.29599156288284423</v>
      </c>
      <c r="AU9" s="14">
        <f t="shared" ref="AU9:AU17" si="13">AK9-AA9</f>
        <v>0.34811723800970595</v>
      </c>
      <c r="AV9" s="9" t="s">
        <v>46</v>
      </c>
      <c r="AW9" s="6" t="s">
        <v>47</v>
      </c>
      <c r="AX9" s="6" t="s">
        <v>130</v>
      </c>
    </row>
    <row r="10" spans="1:68" x14ac:dyDescent="0.3">
      <c r="A10" s="6" t="s">
        <v>82</v>
      </c>
      <c r="B10" s="44">
        <v>0.91550925925925919</v>
      </c>
      <c r="C10" s="6" t="s">
        <v>16</v>
      </c>
      <c r="D10" s="6" t="s">
        <v>30</v>
      </c>
      <c r="E10" s="6" t="s">
        <v>48</v>
      </c>
      <c r="F10" s="6" t="s">
        <v>49</v>
      </c>
      <c r="G10" s="6">
        <v>29</v>
      </c>
      <c r="H10" s="6">
        <v>94027</v>
      </c>
      <c r="I10" s="6">
        <v>21421</v>
      </c>
      <c r="J10" s="7">
        <v>0.85</v>
      </c>
      <c r="K10" s="7" t="s">
        <v>16</v>
      </c>
      <c r="L10" s="3" t="s">
        <v>16</v>
      </c>
      <c r="M10" s="7" t="s">
        <v>16</v>
      </c>
      <c r="N10" s="8">
        <v>4</v>
      </c>
      <c r="O10" s="8">
        <v>35</v>
      </c>
      <c r="P10" s="9">
        <v>55.3</v>
      </c>
      <c r="Q10" s="6" t="s">
        <v>22</v>
      </c>
      <c r="R10" s="8">
        <v>16</v>
      </c>
      <c r="S10" s="8">
        <v>30</v>
      </c>
      <c r="T10" s="9">
        <v>32.9</v>
      </c>
      <c r="U10" s="13">
        <v>68.980161249999995</v>
      </c>
      <c r="V10" s="13">
        <v>16.509301390000001</v>
      </c>
      <c r="W10" s="13">
        <v>9.7887400000000007</v>
      </c>
      <c r="X10" s="13">
        <v>7.0882761509019607</v>
      </c>
      <c r="Y10" s="45">
        <v>29.395809040093688</v>
      </c>
      <c r="Z10" s="11">
        <v>259.41191875600981</v>
      </c>
      <c r="AA10" s="42">
        <v>0.87</v>
      </c>
      <c r="AB10" s="42">
        <v>1.538</v>
      </c>
      <c r="AC10" s="42">
        <f t="shared" si="2"/>
        <v>0.33404</v>
      </c>
      <c r="AD10" s="42">
        <f t="shared" si="3"/>
        <v>1.6627999999999998</v>
      </c>
      <c r="AE10" s="13">
        <f t="shared" si="4"/>
        <v>1.3287599999999999</v>
      </c>
      <c r="AF10" s="13">
        <f t="shared" si="5"/>
        <v>-7.153212000000006E-3</v>
      </c>
      <c r="AG10" s="13">
        <f t="shared" si="6"/>
        <v>0.67197960490463204</v>
      </c>
      <c r="AH10" s="13">
        <f t="shared" si="7"/>
        <v>-0.88417142034332408</v>
      </c>
      <c r="AI10" s="13">
        <f t="shared" si="8"/>
        <v>0.89132463234332404</v>
      </c>
      <c r="AJ10" s="13">
        <f t="shared" si="9"/>
        <v>0.72571735660735681</v>
      </c>
      <c r="AK10" s="39">
        <f t="shared" si="10"/>
        <v>0.31598989251874249</v>
      </c>
      <c r="AL10" s="19"/>
      <c r="AM10" s="19"/>
      <c r="AN10" s="25">
        <v>4.9650800000000004</v>
      </c>
      <c r="AO10" s="25"/>
      <c r="AP10" s="25"/>
      <c r="AQ10" s="25">
        <f t="shared" si="0"/>
        <v>3.4985861242487335</v>
      </c>
      <c r="AR10" s="25">
        <f t="shared" si="1"/>
        <v>3.182596231729991</v>
      </c>
      <c r="AS10" s="29">
        <f t="shared" si="11"/>
        <v>0.46213880089255088</v>
      </c>
      <c r="AT10" s="27">
        <f t="shared" si="12"/>
        <v>0.14614890837380839</v>
      </c>
      <c r="AU10" s="14">
        <f t="shared" si="13"/>
        <v>-0.55401010748125756</v>
      </c>
      <c r="AV10" s="9" t="s">
        <v>50</v>
      </c>
      <c r="AW10" s="6" t="s">
        <v>51</v>
      </c>
    </row>
    <row r="11" spans="1:68" x14ac:dyDescent="0.3">
      <c r="A11" s="6" t="s">
        <v>82</v>
      </c>
      <c r="B11" s="44">
        <v>0.93141975308641978</v>
      </c>
      <c r="C11" s="6" t="s">
        <v>53</v>
      </c>
      <c r="D11" s="6" t="s">
        <v>30</v>
      </c>
      <c r="E11" s="6" t="s">
        <v>54</v>
      </c>
      <c r="F11" s="6" t="s">
        <v>55</v>
      </c>
      <c r="G11" s="6">
        <v>47</v>
      </c>
      <c r="H11" s="6">
        <v>44752</v>
      </c>
      <c r="I11" s="6">
        <v>67301</v>
      </c>
      <c r="J11" s="7">
        <v>1.85</v>
      </c>
      <c r="K11" s="7" t="s">
        <v>16</v>
      </c>
      <c r="L11" s="3" t="s">
        <v>16</v>
      </c>
      <c r="M11" s="7" t="s">
        <v>16</v>
      </c>
      <c r="N11" s="8">
        <v>13</v>
      </c>
      <c r="O11" s="8">
        <v>47</v>
      </c>
      <c r="P11" s="9">
        <v>32.4</v>
      </c>
      <c r="Q11" s="6" t="s">
        <v>22</v>
      </c>
      <c r="R11" s="8">
        <v>49</v>
      </c>
      <c r="S11" s="8">
        <v>18</v>
      </c>
      <c r="T11" s="9">
        <v>47.5</v>
      </c>
      <c r="U11" s="11">
        <v>206.88515708</v>
      </c>
      <c r="V11" s="11">
        <v>49.313265000000001</v>
      </c>
      <c r="W11" s="11">
        <v>9.3949633333333331</v>
      </c>
      <c r="X11" s="11">
        <v>6.803132429124183</v>
      </c>
      <c r="Y11" s="45">
        <v>47.686883468470299</v>
      </c>
      <c r="Z11" s="11">
        <v>64.603005462575652</v>
      </c>
      <c r="AA11" s="42">
        <v>1.85</v>
      </c>
      <c r="AB11" s="42">
        <v>-9.9000000000000005E-2</v>
      </c>
      <c r="AC11" s="42">
        <f t="shared" si="2"/>
        <v>2.0015800000000001</v>
      </c>
      <c r="AD11" s="42">
        <f t="shared" si="3"/>
        <v>1.6606000000000001</v>
      </c>
      <c r="AE11" s="13">
        <f t="shared" si="4"/>
        <v>-0.34098000000000006</v>
      </c>
      <c r="AF11" s="13">
        <f t="shared" si="5"/>
        <v>1.9671180260000003</v>
      </c>
      <c r="AG11" s="13">
        <f t="shared" si="6"/>
        <v>-0.37274532016348799</v>
      </c>
      <c r="AH11" s="13">
        <f t="shared" si="7"/>
        <v>2.0834242764114443</v>
      </c>
      <c r="AI11" s="13">
        <f t="shared" si="8"/>
        <v>-4.0505423024114444</v>
      </c>
      <c r="AJ11" s="13">
        <f t="shared" si="9"/>
        <v>-4.5620802635802455</v>
      </c>
      <c r="AK11" s="39">
        <f t="shared" si="10"/>
        <v>2.1686028092253089</v>
      </c>
      <c r="AL11" s="19"/>
      <c r="AM11" s="19"/>
      <c r="AN11" s="25">
        <v>6.7351999999999999</v>
      </c>
      <c r="AO11" s="25"/>
      <c r="AP11" s="25"/>
      <c r="AQ11" s="25">
        <f t="shared" si="0"/>
        <v>5.268706124248733</v>
      </c>
      <c r="AR11" s="25">
        <f t="shared" si="1"/>
        <v>3.1001033150234241</v>
      </c>
      <c r="AS11" s="29">
        <f t="shared" si="11"/>
        <v>2.2322588008925504</v>
      </c>
      <c r="AT11" s="27">
        <f t="shared" si="12"/>
        <v>6.3655991667241452E-2</v>
      </c>
      <c r="AU11" s="14">
        <f t="shared" si="13"/>
        <v>0.31860280922530881</v>
      </c>
      <c r="AV11" s="9" t="s">
        <v>56</v>
      </c>
      <c r="AW11" s="6" t="s">
        <v>57</v>
      </c>
    </row>
    <row r="12" spans="1:68" x14ac:dyDescent="0.3">
      <c r="A12" s="6" t="s">
        <v>82</v>
      </c>
      <c r="B12" s="44">
        <v>0.93503472222222228</v>
      </c>
      <c r="C12" s="6" t="s">
        <v>58</v>
      </c>
      <c r="D12" s="1" t="s">
        <v>19</v>
      </c>
      <c r="E12" s="6" t="s">
        <v>59</v>
      </c>
      <c r="F12" s="6" t="s">
        <v>55</v>
      </c>
      <c r="G12" s="6">
        <v>54</v>
      </c>
      <c r="H12" s="6">
        <v>28737</v>
      </c>
      <c r="I12" s="6" t="s">
        <v>60</v>
      </c>
      <c r="J12" s="7">
        <v>2.25</v>
      </c>
      <c r="K12" s="7">
        <v>3.87</v>
      </c>
      <c r="L12" s="3">
        <v>14.4</v>
      </c>
      <c r="M12" s="7">
        <v>14.23</v>
      </c>
      <c r="N12" s="8">
        <v>13</v>
      </c>
      <c r="O12" s="8">
        <v>23</v>
      </c>
      <c r="P12" s="9">
        <v>55.6</v>
      </c>
      <c r="Q12" s="6" t="s">
        <v>22</v>
      </c>
      <c r="R12" s="8">
        <v>54</v>
      </c>
      <c r="S12" s="8">
        <v>55</v>
      </c>
      <c r="T12" s="9">
        <v>31.6</v>
      </c>
      <c r="U12" s="11">
        <v>200.98</v>
      </c>
      <c r="V12" s="11">
        <v>54.923609999999996</v>
      </c>
      <c r="W12" s="11">
        <v>9.294456666666667</v>
      </c>
      <c r="X12" s="11">
        <v>6.7303529898562093</v>
      </c>
      <c r="Y12" s="45">
        <v>54.099556599649354</v>
      </c>
      <c r="Z12" s="11">
        <v>59.610624927868685</v>
      </c>
      <c r="AA12" s="42">
        <v>2.23</v>
      </c>
      <c r="AB12" s="42">
        <v>5.7000000000000002E-2</v>
      </c>
      <c r="AC12" s="42">
        <f t="shared" si="2"/>
        <v>2.3160599999999998</v>
      </c>
      <c r="AD12" s="42">
        <f t="shared" si="3"/>
        <v>2.1341999999999999</v>
      </c>
      <c r="AE12" s="13">
        <f t="shared" si="4"/>
        <v>-0.18185999999999991</v>
      </c>
      <c r="AF12" s="13">
        <f t="shared" si="5"/>
        <v>2.2523676819999996</v>
      </c>
      <c r="AG12" s="13">
        <f t="shared" si="6"/>
        <v>-0.27318692779291459</v>
      </c>
      <c r="AH12" s="13">
        <f t="shared" si="7"/>
        <v>2.2740138129455025</v>
      </c>
      <c r="AI12" s="13">
        <f t="shared" si="8"/>
        <v>-4.5263814949455021</v>
      </c>
      <c r="AJ12" s="13">
        <f t="shared" si="9"/>
        <v>-5.0712281995916877</v>
      </c>
      <c r="AK12" s="39">
        <f t="shared" si="10"/>
        <v>2.5009029869857087</v>
      </c>
      <c r="AL12" s="19">
        <v>6.8650000000000002</v>
      </c>
      <c r="AM12" s="19"/>
      <c r="AN12" s="25">
        <v>6.8375700000000004</v>
      </c>
      <c r="AO12" s="25"/>
      <c r="AP12" s="25"/>
      <c r="AQ12" s="25">
        <f t="shared" si="0"/>
        <v>5.3710761242487335</v>
      </c>
      <c r="AR12" s="25">
        <f t="shared" si="1"/>
        <v>2.8701731372630248</v>
      </c>
      <c r="AS12" s="29">
        <f t="shared" si="11"/>
        <v>2.3346288008925509</v>
      </c>
      <c r="AT12" s="27">
        <f t="shared" si="12"/>
        <v>0.16627418609315781</v>
      </c>
      <c r="AU12" s="14">
        <f t="shared" si="13"/>
        <v>0.27090298698570869</v>
      </c>
      <c r="AV12" s="9" t="s">
        <v>61</v>
      </c>
      <c r="AW12" s="6" t="s">
        <v>57</v>
      </c>
      <c r="AX12" s="6" t="s">
        <v>19</v>
      </c>
    </row>
    <row r="13" spans="1:68" x14ac:dyDescent="0.3">
      <c r="A13" s="6" t="s">
        <v>82</v>
      </c>
      <c r="B13" s="44">
        <v>0.94040895061728402</v>
      </c>
      <c r="C13" s="6" t="s">
        <v>62</v>
      </c>
      <c r="D13" s="6" t="s">
        <v>30</v>
      </c>
      <c r="E13" s="6" t="s">
        <v>63</v>
      </c>
      <c r="F13" s="6" t="s">
        <v>55</v>
      </c>
      <c r="G13" s="6">
        <v>58</v>
      </c>
      <c r="H13" s="6">
        <v>28553</v>
      </c>
      <c r="I13" s="6">
        <v>62956</v>
      </c>
      <c r="J13" s="7">
        <v>1.75</v>
      </c>
      <c r="K13" s="7" t="s">
        <v>16</v>
      </c>
      <c r="L13" s="3" t="s">
        <v>16</v>
      </c>
      <c r="M13" s="7" t="s">
        <v>16</v>
      </c>
      <c r="N13" s="8">
        <v>12</v>
      </c>
      <c r="O13" s="8">
        <v>54</v>
      </c>
      <c r="P13" s="9">
        <v>1.8</v>
      </c>
      <c r="Q13" s="6" t="s">
        <v>22</v>
      </c>
      <c r="R13" s="8">
        <v>55</v>
      </c>
      <c r="S13" s="8">
        <v>57</v>
      </c>
      <c r="T13" s="9">
        <v>35.799999999999997</v>
      </c>
      <c r="U13" s="11">
        <v>193.50728917000001</v>
      </c>
      <c r="V13" s="11">
        <v>55.95982111</v>
      </c>
      <c r="W13" s="11">
        <v>7.5854433333333331</v>
      </c>
      <c r="X13" s="11">
        <v>5.492812872104575</v>
      </c>
      <c r="Y13" s="45">
        <v>59.501073674640523</v>
      </c>
      <c r="Z13" s="12">
        <v>60.710173262425371</v>
      </c>
      <c r="AA13" s="42">
        <v>1.76</v>
      </c>
      <c r="AB13" s="42">
        <v>-2.1999999999999999E-2</v>
      </c>
      <c r="AC13" s="42">
        <f t="shared" si="2"/>
        <v>1.87924</v>
      </c>
      <c r="AD13" s="42">
        <f t="shared" si="3"/>
        <v>1.6168</v>
      </c>
      <c r="AE13" s="13">
        <f t="shared" si="4"/>
        <v>-0.26244000000000001</v>
      </c>
      <c r="AF13" s="13">
        <f t="shared" si="5"/>
        <v>1.8303502280000001</v>
      </c>
      <c r="AG13" s="13">
        <f t="shared" si="6"/>
        <v>-0.32360431880108997</v>
      </c>
      <c r="AH13" s="13">
        <f t="shared" si="7"/>
        <v>1.8999332143160763</v>
      </c>
      <c r="AI13" s="13">
        <f t="shared" si="8"/>
        <v>-3.7302834423160762</v>
      </c>
      <c r="AJ13" s="13">
        <f t="shared" si="9"/>
        <v>-4.2194032832782016</v>
      </c>
      <c r="AK13" s="39">
        <f t="shared" si="10"/>
        <v>2.0342691149147369</v>
      </c>
      <c r="AL13" s="19"/>
      <c r="AM13" s="19"/>
      <c r="AN13" s="25">
        <v>6.5334000000000003</v>
      </c>
      <c r="AO13" s="25"/>
      <c r="AP13" s="25"/>
      <c r="AQ13" s="25">
        <f t="shared" si="0"/>
        <v>5.0669061242487334</v>
      </c>
      <c r="AR13" s="25">
        <f t="shared" si="1"/>
        <v>3.0326370093339965</v>
      </c>
      <c r="AS13" s="29">
        <f t="shared" si="11"/>
        <v>2.0304588008925508</v>
      </c>
      <c r="AT13" s="27">
        <f t="shared" si="12"/>
        <v>3.8103140221861231E-3</v>
      </c>
      <c r="AU13" s="14">
        <f t="shared" si="13"/>
        <v>0.27426911491473693</v>
      </c>
      <c r="AV13" s="9" t="s">
        <v>64</v>
      </c>
      <c r="AW13" s="6" t="s">
        <v>57</v>
      </c>
    </row>
    <row r="14" spans="1:68" x14ac:dyDescent="0.3">
      <c r="A14" s="6" t="s">
        <v>82</v>
      </c>
      <c r="B14" s="44">
        <v>0.9437885802469137</v>
      </c>
      <c r="C14" s="6" t="s">
        <v>65</v>
      </c>
      <c r="D14" s="6" t="s">
        <v>30</v>
      </c>
      <c r="E14" s="6" t="s">
        <v>66</v>
      </c>
      <c r="F14" s="6" t="s">
        <v>55</v>
      </c>
      <c r="G14" s="6">
        <v>65</v>
      </c>
      <c r="H14" s="6">
        <v>28315</v>
      </c>
      <c r="I14" s="6">
        <v>59774</v>
      </c>
      <c r="J14" s="7">
        <v>3.3</v>
      </c>
      <c r="K14" s="7" t="s">
        <v>16</v>
      </c>
      <c r="L14" s="3" t="s">
        <v>16</v>
      </c>
      <c r="M14" s="7" t="s">
        <v>16</v>
      </c>
      <c r="N14" s="8">
        <v>12</v>
      </c>
      <c r="O14" s="8">
        <v>15</v>
      </c>
      <c r="P14" s="9">
        <v>25.6</v>
      </c>
      <c r="Q14" s="6" t="s">
        <v>22</v>
      </c>
      <c r="R14" s="8">
        <v>57</v>
      </c>
      <c r="S14" s="8">
        <v>1</v>
      </c>
      <c r="T14" s="9">
        <v>58</v>
      </c>
      <c r="U14" s="12">
        <v>183.85650042</v>
      </c>
      <c r="V14" s="12">
        <v>57.032616939999997</v>
      </c>
      <c r="W14" s="12">
        <v>9.0771333333333342</v>
      </c>
      <c r="X14" s="12">
        <v>6.5729836245751638</v>
      </c>
      <c r="Y14" s="45">
        <v>65.589314775612081</v>
      </c>
      <c r="Z14" s="12">
        <v>60.515082316338521</v>
      </c>
      <c r="AA14" s="42">
        <v>3.32</v>
      </c>
      <c r="AB14" s="42">
        <v>7.6999999999999999E-2</v>
      </c>
      <c r="AC14" s="42">
        <f t="shared" si="2"/>
        <v>3.3976599999999997</v>
      </c>
      <c r="AD14" s="42">
        <f t="shared" si="3"/>
        <v>3.2361999999999997</v>
      </c>
      <c r="AE14" s="13">
        <f t="shared" si="4"/>
        <v>-0.16145999999999994</v>
      </c>
      <c r="AF14" s="13">
        <f t="shared" si="5"/>
        <v>3.3302202019999996</v>
      </c>
      <c r="AG14" s="13">
        <f t="shared" si="6"/>
        <v>-0.26042303133514921</v>
      </c>
      <c r="AH14" s="13">
        <f t="shared" si="7"/>
        <v>3.3397304201934594</v>
      </c>
      <c r="AI14" s="13">
        <f t="shared" si="8"/>
        <v>-6.6699506221934595</v>
      </c>
      <c r="AJ14" s="13">
        <f t="shared" si="9"/>
        <v>-7.364847165747002</v>
      </c>
      <c r="AK14" s="39">
        <f t="shared" si="10"/>
        <v>3.662779650801145</v>
      </c>
      <c r="AL14" s="19"/>
      <c r="AM14" s="19"/>
      <c r="AN14" s="25">
        <v>8.0440100000000001</v>
      </c>
      <c r="AO14" s="25"/>
      <c r="AP14" s="25"/>
      <c r="AQ14" s="25">
        <f t="shared" si="0"/>
        <v>6.5775161242487332</v>
      </c>
      <c r="AR14" s="25">
        <f t="shared" si="1"/>
        <v>2.9147364734475882</v>
      </c>
      <c r="AS14" s="29">
        <f t="shared" si="11"/>
        <v>3.5410688008925506</v>
      </c>
      <c r="AT14" s="27">
        <f t="shared" si="12"/>
        <v>0.12171084990859438</v>
      </c>
      <c r="AU14" s="14">
        <f t="shared" si="13"/>
        <v>0.34277965080114514</v>
      </c>
      <c r="AV14" s="9" t="s">
        <v>67</v>
      </c>
      <c r="AW14" s="6" t="s">
        <v>57</v>
      </c>
    </row>
    <row r="15" spans="1:68" x14ac:dyDescent="0.3">
      <c r="A15" s="6" t="s">
        <v>82</v>
      </c>
      <c r="B15" s="44">
        <v>0.94682870370370376</v>
      </c>
      <c r="C15" s="6" t="s">
        <v>68</v>
      </c>
      <c r="D15" s="6" t="s">
        <v>30</v>
      </c>
      <c r="E15" s="6" t="s">
        <v>69</v>
      </c>
      <c r="F15" s="6" t="s">
        <v>55</v>
      </c>
      <c r="G15" s="6">
        <v>68</v>
      </c>
      <c r="H15" s="6">
        <v>28179</v>
      </c>
      <c r="I15" s="6">
        <v>58001</v>
      </c>
      <c r="J15" s="7">
        <v>2.4</v>
      </c>
      <c r="K15" s="7" t="s">
        <v>16</v>
      </c>
      <c r="L15" s="3" t="s">
        <v>16</v>
      </c>
      <c r="M15" s="7" t="s">
        <v>16</v>
      </c>
      <c r="N15" s="8">
        <v>11</v>
      </c>
      <c r="O15" s="8">
        <v>53</v>
      </c>
      <c r="P15" s="9">
        <v>50</v>
      </c>
      <c r="Q15" s="6" t="s">
        <v>22</v>
      </c>
      <c r="R15" s="8">
        <v>53</v>
      </c>
      <c r="S15" s="8">
        <v>41</v>
      </c>
      <c r="T15" s="9">
        <v>41.3</v>
      </c>
      <c r="U15" s="12">
        <v>178.45769791999999</v>
      </c>
      <c r="V15" s="12">
        <v>53.694760000000002</v>
      </c>
      <c r="W15" s="12">
        <v>8.664063333333333</v>
      </c>
      <c r="X15" s="12">
        <v>6.273869108339869</v>
      </c>
      <c r="Y15" s="45">
        <v>68.896449911182927</v>
      </c>
      <c r="Z15" s="11">
        <v>70.151435049666986</v>
      </c>
      <c r="AA15" s="42">
        <v>2.41</v>
      </c>
      <c r="AB15" s="42">
        <v>4.3999999999999997E-2</v>
      </c>
      <c r="AC15" s="42">
        <f t="shared" si="2"/>
        <v>2.5015200000000002</v>
      </c>
      <c r="AD15" s="42">
        <f t="shared" si="3"/>
        <v>2.3064000000000004</v>
      </c>
      <c r="AE15" s="13">
        <f t="shared" si="4"/>
        <v>-0.19511999999999974</v>
      </c>
      <c r="AF15" s="13">
        <f t="shared" si="5"/>
        <v>2.440263544</v>
      </c>
      <c r="AG15" s="13">
        <f t="shared" si="6"/>
        <v>-0.2814834604904623</v>
      </c>
      <c r="AH15" s="13">
        <f t="shared" si="7"/>
        <v>2.4697980182343313</v>
      </c>
      <c r="AI15" s="13">
        <f t="shared" si="8"/>
        <v>-4.9100615622343309</v>
      </c>
      <c r="AJ15" s="13">
        <f t="shared" si="9"/>
        <v>-5.481765871590734</v>
      </c>
      <c r="AK15" s="39">
        <f t="shared" si="10"/>
        <v>2.7007318055056757</v>
      </c>
      <c r="AL15" s="19"/>
      <c r="AM15" s="19"/>
      <c r="AN15" s="25">
        <v>7.1755399999999998</v>
      </c>
      <c r="AO15" s="25"/>
      <c r="AP15" s="25"/>
      <c r="AQ15" s="25">
        <f t="shared" si="0"/>
        <v>5.7090461242487329</v>
      </c>
      <c r="AR15" s="25">
        <f t="shared" si="1"/>
        <v>3.0083143187430572</v>
      </c>
      <c r="AS15" s="29">
        <f t="shared" si="11"/>
        <v>2.6725988008925503</v>
      </c>
      <c r="AT15" s="27">
        <f t="shared" si="12"/>
        <v>2.8133004613125401E-2</v>
      </c>
      <c r="AU15" s="14">
        <f t="shared" si="13"/>
        <v>0.29073180550567557</v>
      </c>
      <c r="AV15" s="9" t="s">
        <v>70</v>
      </c>
      <c r="AW15" s="6" t="s">
        <v>57</v>
      </c>
    </row>
    <row r="16" spans="1:68" x14ac:dyDescent="0.3">
      <c r="A16" s="6" t="s">
        <v>82</v>
      </c>
      <c r="B16" s="44">
        <v>0.94870370370370383</v>
      </c>
      <c r="C16" s="6" t="s">
        <v>71</v>
      </c>
      <c r="D16" s="6" t="s">
        <v>30</v>
      </c>
      <c r="E16" s="6" t="s">
        <v>72</v>
      </c>
      <c r="F16" s="6" t="s">
        <v>55</v>
      </c>
      <c r="G16" s="6">
        <v>77</v>
      </c>
      <c r="H16" s="6">
        <v>27876</v>
      </c>
      <c r="I16" s="6">
        <v>53910</v>
      </c>
      <c r="J16" s="7">
        <v>2.2999999999999998</v>
      </c>
      <c r="K16" s="7" t="s">
        <v>16</v>
      </c>
      <c r="L16" s="3" t="s">
        <v>16</v>
      </c>
      <c r="M16" s="7" t="s">
        <v>16</v>
      </c>
      <c r="N16" s="8">
        <v>11</v>
      </c>
      <c r="O16" s="8">
        <v>1</v>
      </c>
      <c r="P16" s="9">
        <v>50.5</v>
      </c>
      <c r="Q16" s="6" t="s">
        <v>22</v>
      </c>
      <c r="R16" s="8">
        <v>56</v>
      </c>
      <c r="S16" s="8">
        <v>22</v>
      </c>
      <c r="T16" s="9">
        <v>56.5</v>
      </c>
      <c r="U16" s="11">
        <v>165.46032</v>
      </c>
      <c r="V16" s="11">
        <v>56.382426670000001</v>
      </c>
      <c r="W16" s="11">
        <v>8.6558833333333336</v>
      </c>
      <c r="X16" s="11">
        <v>6.2679457618300658</v>
      </c>
      <c r="Y16" s="45">
        <v>76.639080133564235</v>
      </c>
      <c r="Z16" s="11">
        <v>60.106504685775633</v>
      </c>
      <c r="AA16" s="42">
        <v>2.34</v>
      </c>
      <c r="AB16" s="42">
        <v>3.3000000000000002E-2</v>
      </c>
      <c r="AC16" s="42">
        <f t="shared" si="2"/>
        <v>2.4361399999999995</v>
      </c>
      <c r="AD16" s="42">
        <f t="shared" si="3"/>
        <v>2.2298</v>
      </c>
      <c r="AE16" s="13">
        <f t="shared" si="4"/>
        <v>-0.20633999999999952</v>
      </c>
      <c r="AF16" s="13">
        <f t="shared" si="5"/>
        <v>2.3769446579999993</v>
      </c>
      <c r="AG16" s="13">
        <f t="shared" si="6"/>
        <v>-0.28850360354223331</v>
      </c>
      <c r="AH16" s="13">
        <f t="shared" si="7"/>
        <v>2.4131538842479547</v>
      </c>
      <c r="AI16" s="13">
        <f t="shared" si="8"/>
        <v>-4.7900985422479536</v>
      </c>
      <c r="AJ16" s="13">
        <f t="shared" si="9"/>
        <v>-5.3534054402053108</v>
      </c>
      <c r="AK16" s="39">
        <f t="shared" si="10"/>
        <v>2.6308591904071856</v>
      </c>
      <c r="AL16" s="19"/>
      <c r="AM16" s="19"/>
      <c r="AN16" s="25">
        <v>7.09511</v>
      </c>
      <c r="AO16" s="25"/>
      <c r="AP16" s="25"/>
      <c r="AQ16" s="25">
        <f t="shared" si="0"/>
        <v>5.6286161242487331</v>
      </c>
      <c r="AR16" s="25">
        <f t="shared" si="1"/>
        <v>2.9977569338415475</v>
      </c>
      <c r="AS16" s="29">
        <f t="shared" si="11"/>
        <v>2.5921688008925505</v>
      </c>
      <c r="AT16" s="27">
        <f t="shared" si="12"/>
        <v>3.8690389514635104E-2</v>
      </c>
      <c r="AU16" s="14">
        <f t="shared" si="13"/>
        <v>0.29085919040718577</v>
      </c>
      <c r="AV16" s="9" t="s">
        <v>73</v>
      </c>
      <c r="AW16" s="6" t="s">
        <v>57</v>
      </c>
    </row>
    <row r="17" spans="1:64" x14ac:dyDescent="0.3">
      <c r="A17" s="6" t="s">
        <v>82</v>
      </c>
      <c r="B17" s="44">
        <v>0.95082175925925927</v>
      </c>
      <c r="C17" s="6" t="s">
        <v>74</v>
      </c>
      <c r="D17" s="1" t="s">
        <v>19</v>
      </c>
      <c r="E17" s="6" t="s">
        <v>75</v>
      </c>
      <c r="F17" s="6" t="s">
        <v>52</v>
      </c>
      <c r="G17" s="6">
        <v>75</v>
      </c>
      <c r="H17" s="6">
        <v>15384</v>
      </c>
      <c r="I17" s="6" t="s">
        <v>76</v>
      </c>
      <c r="J17" s="7">
        <v>2.02</v>
      </c>
      <c r="K17" s="7">
        <v>4.95</v>
      </c>
      <c r="L17" s="3">
        <v>0.9</v>
      </c>
      <c r="M17" s="7" t="s">
        <v>38</v>
      </c>
      <c r="N17" s="8">
        <v>11</v>
      </c>
      <c r="O17" s="8">
        <v>3</v>
      </c>
      <c r="P17" s="9">
        <v>43.7</v>
      </c>
      <c r="Q17" s="6" t="s">
        <v>22</v>
      </c>
      <c r="R17" s="8">
        <v>61</v>
      </c>
      <c r="S17" s="8">
        <v>45</v>
      </c>
      <c r="T17" s="9">
        <v>5.5</v>
      </c>
      <c r="U17" s="11">
        <v>165.93195291999999</v>
      </c>
      <c r="V17" s="11">
        <v>61.751033329999999</v>
      </c>
      <c r="W17" s="11">
        <v>8.367073333333332</v>
      </c>
      <c r="X17" s="11">
        <v>6.058811079006535</v>
      </c>
      <c r="Y17" s="45">
        <v>74.680193948365641</v>
      </c>
      <c r="Z17" s="42">
        <v>39.767466687062154</v>
      </c>
      <c r="AA17" s="42">
        <v>1.81</v>
      </c>
      <c r="AB17" s="42">
        <v>1.0609999999999999</v>
      </c>
      <c r="AC17" s="42">
        <f t="shared" si="2"/>
        <v>1.4743800000000002</v>
      </c>
      <c r="AD17" s="42">
        <f t="shared" si="3"/>
        <v>2.3166000000000002</v>
      </c>
      <c r="AE17" s="13">
        <f t="shared" si="4"/>
        <v>0.84221999999999997</v>
      </c>
      <c r="AF17" s="13">
        <f t="shared" si="5"/>
        <v>1.2225641860000003</v>
      </c>
      <c r="AG17" s="13">
        <f t="shared" si="6"/>
        <v>0.36756067438692114</v>
      </c>
      <c r="AH17" s="13">
        <f t="shared" si="7"/>
        <v>0.63498749679291555</v>
      </c>
      <c r="AI17" s="13">
        <f t="shared" si="8"/>
        <v>-1.8575516827929159</v>
      </c>
      <c r="AJ17" s="13">
        <f t="shared" si="9"/>
        <v>-2.2155803005884205</v>
      </c>
      <c r="AK17" s="39">
        <f t="shared" si="10"/>
        <v>1.559275310520595</v>
      </c>
      <c r="AL17" s="19">
        <v>15.1</v>
      </c>
      <c r="AM17" s="19"/>
      <c r="AN17" s="25">
        <v>6.1103500000000004</v>
      </c>
      <c r="AO17" s="25"/>
      <c r="AP17" s="25"/>
      <c r="AQ17" s="25">
        <f t="shared" si="0"/>
        <v>4.6438561242487335</v>
      </c>
      <c r="AR17" s="25">
        <f t="shared" si="1"/>
        <v>3.0845808137281385</v>
      </c>
      <c r="AS17" s="29">
        <f t="shared" si="11"/>
        <v>1.6074088008925509</v>
      </c>
      <c r="AT17" s="27">
        <f t="shared" si="12"/>
        <v>4.8133490371955912E-2</v>
      </c>
      <c r="AU17" s="14">
        <f t="shared" si="13"/>
        <v>-0.25072468947940507</v>
      </c>
      <c r="AV17" s="9" t="s">
        <v>77</v>
      </c>
      <c r="AW17" s="6" t="s">
        <v>57</v>
      </c>
      <c r="AX17" s="6" t="s">
        <v>19</v>
      </c>
    </row>
    <row r="18" spans="1:64" x14ac:dyDescent="0.3">
      <c r="A18" s="6" t="s">
        <v>82</v>
      </c>
      <c r="C18" s="6" t="s">
        <v>78</v>
      </c>
      <c r="D18" s="6" t="s">
        <v>79</v>
      </c>
      <c r="E18" s="6" t="s">
        <v>78</v>
      </c>
      <c r="F18" s="6" t="s">
        <v>80</v>
      </c>
      <c r="G18" s="6">
        <v>22</v>
      </c>
      <c r="H18" s="6" t="s">
        <v>16</v>
      </c>
      <c r="I18" s="6" t="s">
        <v>16</v>
      </c>
      <c r="J18" s="7">
        <v>0.84</v>
      </c>
      <c r="K18" s="7" t="s">
        <v>16</v>
      </c>
      <c r="L18" s="3" t="s">
        <v>16</v>
      </c>
      <c r="M18" s="7" t="s">
        <v>16</v>
      </c>
      <c r="N18" s="8">
        <v>12</v>
      </c>
      <c r="O18" s="8">
        <v>47</v>
      </c>
      <c r="P18" s="9">
        <v>18.7</v>
      </c>
      <c r="Q18" s="6" t="s">
        <v>16</v>
      </c>
      <c r="R18" s="8">
        <v>2</v>
      </c>
      <c r="S18" s="8">
        <v>8</v>
      </c>
      <c r="T18" s="9">
        <v>15.5</v>
      </c>
      <c r="U18" s="13">
        <v>195.02044444444445</v>
      </c>
      <c r="V18" s="13">
        <v>-3.6067222222222224</v>
      </c>
      <c r="W18" s="13"/>
      <c r="X18" s="13"/>
      <c r="AA18" s="43">
        <v>0.86</v>
      </c>
      <c r="AB18" s="43" t="s">
        <v>16</v>
      </c>
      <c r="AC18" s="42"/>
      <c r="AD18" s="42"/>
      <c r="AE18" s="13"/>
      <c r="AF18" s="13"/>
      <c r="AG18" s="13"/>
      <c r="AH18" s="13"/>
      <c r="AI18" s="13"/>
      <c r="AJ18" s="13"/>
      <c r="AK18" s="39"/>
      <c r="AL18" s="19"/>
      <c r="AM18" s="19"/>
      <c r="AN18" s="25"/>
      <c r="AO18" s="25"/>
      <c r="AP18" s="25"/>
      <c r="AQ18" s="25"/>
      <c r="AR18" s="25"/>
      <c r="AS18" s="29"/>
      <c r="AT18" s="27"/>
      <c r="AV18" s="9" t="s">
        <v>16</v>
      </c>
      <c r="AW18" s="6" t="s">
        <v>81</v>
      </c>
      <c r="AX18" s="6" t="s">
        <v>106</v>
      </c>
    </row>
    <row r="19" spans="1:64" x14ac:dyDescent="0.3">
      <c r="A19" s="47" t="s">
        <v>100</v>
      </c>
      <c r="B19" s="66">
        <v>0.83928626543209883</v>
      </c>
      <c r="C19" s="47" t="s">
        <v>83</v>
      </c>
      <c r="D19" s="47" t="s">
        <v>30</v>
      </c>
      <c r="E19" s="47" t="s">
        <v>84</v>
      </c>
      <c r="F19" s="47" t="s">
        <v>85</v>
      </c>
      <c r="G19" s="47">
        <v>36</v>
      </c>
      <c r="H19" s="47" t="s">
        <v>16</v>
      </c>
      <c r="I19" s="47">
        <v>17573</v>
      </c>
      <c r="J19" s="49">
        <v>3.85</v>
      </c>
      <c r="K19" s="49" t="s">
        <v>16</v>
      </c>
      <c r="L19" s="50" t="s">
        <v>16</v>
      </c>
      <c r="M19" s="49" t="s">
        <v>16</v>
      </c>
      <c r="N19" s="51">
        <v>3</v>
      </c>
      <c r="O19" s="51">
        <v>45</v>
      </c>
      <c r="P19" s="52">
        <v>49.6</v>
      </c>
      <c r="Q19" s="47" t="s">
        <v>22</v>
      </c>
      <c r="R19" s="51">
        <v>24</v>
      </c>
      <c r="S19" s="51">
        <v>22</v>
      </c>
      <c r="T19" s="52">
        <v>3.4</v>
      </c>
      <c r="U19" s="53">
        <v>56.456694579999997</v>
      </c>
      <c r="V19" s="53">
        <v>24.36774861</v>
      </c>
      <c r="W19" s="53">
        <v>7.9487016666666674</v>
      </c>
      <c r="X19" s="53">
        <v>5.7558574907973856</v>
      </c>
      <c r="Y19" s="53">
        <v>34.20462063823652</v>
      </c>
      <c r="Z19" s="53">
        <v>266.98513404130313</v>
      </c>
      <c r="AA19" s="53">
        <v>3.87</v>
      </c>
      <c r="AB19" s="53">
        <v>-6.3E-2</v>
      </c>
      <c r="AC19" s="53">
        <f>(AA19-(0.42*AB19))+0.11</f>
        <v>4.0064600000000006</v>
      </c>
      <c r="AD19" s="53">
        <f>(AA19+(0.6*AB19))-0.13</f>
        <v>3.7022000000000004</v>
      </c>
      <c r="AE19" s="53">
        <f>AD19-AC19</f>
        <v>-0.3042600000000002</v>
      </c>
      <c r="AF19" s="53">
        <f>AC19-(0.1837*AE19)-0.0971</f>
        <v>3.9652525620000008</v>
      </c>
      <c r="AG19" s="53">
        <f>(AC19-0.1439-AF19)/0.2936</f>
        <v>-0.34977030653950986</v>
      </c>
      <c r="AH19" s="53">
        <f>AC19-(1.2444*AG19)-0.382</f>
        <v>4.0597141694577665</v>
      </c>
      <c r="AI19" s="53">
        <f>-AF19-AH19</f>
        <v>-8.0249667314577664</v>
      </c>
      <c r="AJ19" s="53">
        <f>(1.07*AI19)-0.228</f>
        <v>-8.8147144026598099</v>
      </c>
      <c r="AK19" s="67">
        <f>AC19-(0.035*(AJ19-0.21))</f>
        <v>4.3223250040930941</v>
      </c>
      <c r="AL19" s="55"/>
      <c r="AM19" s="55"/>
      <c r="AN19" s="56">
        <v>8.8831199999999999</v>
      </c>
      <c r="AO19" s="56">
        <v>1.4</v>
      </c>
      <c r="AP19" s="56">
        <f>AN19-2.5*LOG10(AO19)</f>
        <v>8.5177999108044045</v>
      </c>
      <c r="AQ19" s="56">
        <f t="shared" si="0"/>
        <v>7.416626124248733</v>
      </c>
      <c r="AR19" s="56">
        <f t="shared" si="1"/>
        <v>3.094301120155639</v>
      </c>
      <c r="AS19" s="57">
        <f>AQ19-(AVERAGE(IF($AR$4:$AR$23&gt;0,$AR$4:$AR$23)))</f>
        <v>4.3801788008925504</v>
      </c>
      <c r="AT19" s="58">
        <f>ABS(AS19-AK19)</f>
        <v>5.7853796799456347E-2</v>
      </c>
      <c r="AU19" s="60">
        <f>AK19-AA19</f>
        <v>0.45232500409309395</v>
      </c>
      <c r="AV19" s="52" t="s">
        <v>86</v>
      </c>
      <c r="AW19" s="47" t="s">
        <v>87</v>
      </c>
      <c r="AX19" s="47"/>
    </row>
    <row r="20" spans="1:64" x14ac:dyDescent="0.3">
      <c r="A20" s="6" t="s">
        <v>100</v>
      </c>
      <c r="B20" s="44">
        <v>0.8532619598765433</v>
      </c>
      <c r="C20" s="6" t="s">
        <v>41</v>
      </c>
      <c r="D20" s="6" t="s">
        <v>26</v>
      </c>
      <c r="E20" s="6" t="s">
        <v>42</v>
      </c>
      <c r="F20" s="6" t="s">
        <v>32</v>
      </c>
      <c r="G20" s="6">
        <v>23</v>
      </c>
      <c r="H20" s="6" t="s">
        <v>16</v>
      </c>
      <c r="I20" s="6" t="s">
        <v>128</v>
      </c>
      <c r="J20" s="7">
        <v>4</v>
      </c>
      <c r="K20" s="7" t="s">
        <v>16</v>
      </c>
      <c r="L20" s="3" t="s">
        <v>16</v>
      </c>
      <c r="M20" s="7" t="s">
        <v>16</v>
      </c>
      <c r="N20" s="8">
        <v>5</v>
      </c>
      <c r="O20" s="8">
        <v>35</v>
      </c>
      <c r="P20" s="9">
        <v>22.9</v>
      </c>
      <c r="Q20" s="6" t="s">
        <v>16</v>
      </c>
      <c r="R20" s="8">
        <v>5</v>
      </c>
      <c r="S20" s="8">
        <v>24</v>
      </c>
      <c r="T20" s="9">
        <v>57.8</v>
      </c>
      <c r="U20" s="13">
        <v>83.822083329999998</v>
      </c>
      <c r="V20" s="13">
        <v>-5.3911111099999998</v>
      </c>
      <c r="W20" s="13">
        <v>5.9051499999999999</v>
      </c>
      <c r="X20" s="13">
        <v>4.2760696384313723</v>
      </c>
      <c r="Y20" s="45">
        <v>22.458174224635137</v>
      </c>
      <c r="Z20" s="13">
        <v>226.93589023440205</v>
      </c>
      <c r="AA20" s="6">
        <v>4.9800000000000004</v>
      </c>
      <c r="AB20" s="6">
        <v>-9.7000000000000003E-2</v>
      </c>
      <c r="AC20" s="13">
        <f>(AA20-(0.42*AB20))+0.11</f>
        <v>5.1307400000000003</v>
      </c>
      <c r="AD20" s="13">
        <f>(AA20+(0.6*AB20))-0.13</f>
        <v>4.7918000000000003</v>
      </c>
      <c r="AE20" s="13">
        <f>AD20-AC20</f>
        <v>-0.33894000000000002</v>
      </c>
      <c r="AF20" s="13">
        <f>AC20-(0.1837*AE20)-0.0971</f>
        <v>5.0959032779999998</v>
      </c>
      <c r="AG20" s="13">
        <f>(AC20-0.1439-AF20)/0.2936</f>
        <v>-0.37146893051771052</v>
      </c>
      <c r="AH20" s="13">
        <f>AC20-(1.2444*AG20)-0.382</f>
        <v>5.2109959371362393</v>
      </c>
      <c r="AI20" s="13">
        <f>-AF20-AH20</f>
        <v>-10.306899215136239</v>
      </c>
      <c r="AJ20" s="13">
        <f>(1.07*AI20)-0.228</f>
        <v>-11.256382160195777</v>
      </c>
      <c r="AK20" s="39">
        <f>AC20-(0.035*(AJ20-0.21))</f>
        <v>5.5320633756068522</v>
      </c>
      <c r="AL20" s="19"/>
      <c r="AM20" s="19"/>
      <c r="AN20" s="25">
        <v>9.7761800000000001</v>
      </c>
      <c r="AO20" s="25"/>
      <c r="AP20" s="25"/>
      <c r="AQ20" s="25">
        <f t="shared" si="0"/>
        <v>8.3096861242487332</v>
      </c>
      <c r="AR20" s="25">
        <f t="shared" si="1"/>
        <v>2.777622748641881</v>
      </c>
      <c r="AS20" s="29">
        <f>AQ20-(AVERAGE(IF($AR$4:$AR$23&gt;0,$AR$4:$AR$23)))</f>
        <v>5.2732388008925506</v>
      </c>
      <c r="AT20" s="27">
        <f>ABS(AS20-AK20)</f>
        <v>0.25882457471430165</v>
      </c>
      <c r="AV20" s="6" t="s">
        <v>16</v>
      </c>
      <c r="AW20" s="6" t="s">
        <v>88</v>
      </c>
      <c r="AX20" s="6" t="s">
        <v>127</v>
      </c>
    </row>
    <row r="21" spans="1:64" x14ac:dyDescent="0.3">
      <c r="A21" s="6" t="s">
        <v>100</v>
      </c>
      <c r="B21" s="44">
        <v>0.98012962962962957</v>
      </c>
      <c r="C21" s="6" t="s">
        <v>89</v>
      </c>
      <c r="D21" s="6" t="s">
        <v>30</v>
      </c>
      <c r="E21" s="6" t="s">
        <v>90</v>
      </c>
      <c r="F21" s="6" t="s">
        <v>85</v>
      </c>
      <c r="G21" s="6">
        <v>27</v>
      </c>
      <c r="H21" s="6" t="s">
        <v>16</v>
      </c>
      <c r="I21" s="6">
        <v>31635</v>
      </c>
      <c r="J21" s="7">
        <v>9.6</v>
      </c>
      <c r="K21" s="7" t="s">
        <v>16</v>
      </c>
      <c r="L21" s="3" t="s">
        <v>16</v>
      </c>
      <c r="M21" s="7" t="s">
        <v>16</v>
      </c>
      <c r="N21" s="8">
        <v>6</v>
      </c>
      <c r="O21" s="8">
        <v>37</v>
      </c>
      <c r="P21" s="9">
        <v>10.199999999999999</v>
      </c>
      <c r="Q21" s="6" t="s">
        <v>22</v>
      </c>
      <c r="R21" s="8">
        <v>17</v>
      </c>
      <c r="S21" s="8">
        <v>33</v>
      </c>
      <c r="T21" s="9">
        <v>57</v>
      </c>
      <c r="U21" s="13">
        <v>99.294967499999998</v>
      </c>
      <c r="V21" s="13">
        <v>17.56480139</v>
      </c>
      <c r="W21" s="24">
        <v>18.432680000000001</v>
      </c>
      <c r="X21" s="24">
        <v>13.3475734406275</v>
      </c>
      <c r="Y21" s="45">
        <v>24.154312528857794</v>
      </c>
      <c r="Z21" s="13">
        <v>268.15988875514267</v>
      </c>
      <c r="AA21" s="13">
        <v>9.6300000000000008</v>
      </c>
      <c r="AB21" s="13">
        <v>1.48</v>
      </c>
      <c r="AC21" s="13">
        <f>(AA21-(0.42*AB21))+0.11</f>
        <v>9.1184000000000012</v>
      </c>
      <c r="AD21" s="13">
        <f>(AA21+(0.6*AB21))-0.13</f>
        <v>10.388</v>
      </c>
      <c r="AE21" s="13">
        <f>AD21-AC21</f>
        <v>1.2695999999999987</v>
      </c>
      <c r="AF21" s="13">
        <f>AC21-(0.1837*AE21)-0.0971</f>
        <v>8.7880744800000024</v>
      </c>
      <c r="AG21" s="13">
        <f>(AC21-0.1439-AF21)/0.2936</f>
        <v>0.63496430517710645</v>
      </c>
      <c r="AH21" s="13">
        <f>AC21-(1.2444*AG21)-0.382</f>
        <v>7.9462504186376108</v>
      </c>
      <c r="AI21" s="13">
        <f>-AF21-AH21</f>
        <v>-16.734324898637613</v>
      </c>
      <c r="AJ21" s="13">
        <f>(1.07*AI21)-0.228</f>
        <v>-18.133727641542247</v>
      </c>
      <c r="AK21" s="39">
        <f>AC21-(0.035*(AJ21-0.21))</f>
        <v>9.760430467453979</v>
      </c>
      <c r="AL21" s="19"/>
      <c r="AM21" s="19">
        <v>9.0069999999999997</v>
      </c>
      <c r="AN21" s="25">
        <v>14.2029</v>
      </c>
      <c r="AO21" s="25">
        <v>1.4</v>
      </c>
      <c r="AP21" s="25">
        <f>AN21-2.5*LOG10(AO21)</f>
        <v>13.837579910804404</v>
      </c>
      <c r="AQ21" s="25">
        <f t="shared" si="0"/>
        <v>12.736406124248733</v>
      </c>
      <c r="AR21" s="25">
        <f t="shared" si="1"/>
        <v>2.9759756567947537</v>
      </c>
      <c r="AS21" s="29">
        <f>AQ21-(AVERAGE(IF($AR$4:$AR$23&gt;0,$AR$4:$AR$23)))</f>
        <v>9.6999588008925492</v>
      </c>
      <c r="AT21" s="27">
        <f>ABS(AS21-AK21)</f>
        <v>6.0471666561429771E-2</v>
      </c>
      <c r="AU21" s="14">
        <f>AK21-AA21</f>
        <v>0.13043046745397824</v>
      </c>
      <c r="AV21" s="9" t="s">
        <v>91</v>
      </c>
      <c r="AW21" s="6" t="s">
        <v>92</v>
      </c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</row>
    <row r="22" spans="1:64" x14ac:dyDescent="0.3">
      <c r="A22" s="6" t="s">
        <v>100</v>
      </c>
      <c r="B22" s="1"/>
      <c r="C22" s="6" t="s">
        <v>78</v>
      </c>
      <c r="D22" s="6" t="s">
        <v>79</v>
      </c>
      <c r="E22" s="6" t="s">
        <v>78</v>
      </c>
      <c r="F22" s="6" t="s">
        <v>93</v>
      </c>
      <c r="G22" s="6">
        <v>32</v>
      </c>
      <c r="H22" s="6" t="s">
        <v>16</v>
      </c>
      <c r="I22" s="6" t="s">
        <v>16</v>
      </c>
      <c r="J22" s="7">
        <v>0.84</v>
      </c>
      <c r="K22" s="7" t="s">
        <v>16</v>
      </c>
      <c r="L22" s="3" t="s">
        <v>16</v>
      </c>
      <c r="M22" s="7" t="s">
        <v>16</v>
      </c>
      <c r="N22" s="8">
        <v>13</v>
      </c>
      <c r="O22" s="8">
        <v>1</v>
      </c>
      <c r="P22" s="9">
        <v>13.6</v>
      </c>
      <c r="Q22" s="6" t="s">
        <v>16</v>
      </c>
      <c r="R22" s="8">
        <v>3</v>
      </c>
      <c r="S22" s="8">
        <v>36</v>
      </c>
      <c r="T22" s="9">
        <v>24.2</v>
      </c>
      <c r="U22" s="13">
        <v>195.02044444444445</v>
      </c>
      <c r="V22" s="13">
        <v>-3.6067222222222224</v>
      </c>
      <c r="W22" s="13"/>
      <c r="X22" s="13"/>
      <c r="Y22" s="13"/>
      <c r="Z22" s="13"/>
      <c r="AA22" s="6">
        <v>0.86</v>
      </c>
      <c r="AB22" s="6" t="s">
        <v>16</v>
      </c>
      <c r="AC22" s="13"/>
      <c r="AD22" s="13"/>
      <c r="AE22" s="13"/>
      <c r="AF22" s="13"/>
      <c r="AG22" s="13"/>
      <c r="AH22" s="13"/>
      <c r="AI22" s="13"/>
      <c r="AJ22" s="13"/>
      <c r="AK22" s="39"/>
      <c r="AL22" s="19"/>
      <c r="AM22" s="19"/>
      <c r="AN22" s="25"/>
      <c r="AO22" s="25"/>
      <c r="AP22" s="25"/>
      <c r="AQ22" s="25"/>
      <c r="AR22" s="25"/>
      <c r="AS22" s="25"/>
      <c r="AT22" s="25"/>
      <c r="AV22" s="9" t="s">
        <v>16</v>
      </c>
      <c r="AW22" s="43" t="s">
        <v>160</v>
      </c>
      <c r="AX22" s="6" t="s">
        <v>94</v>
      </c>
    </row>
    <row r="23" spans="1:64" x14ac:dyDescent="0.3">
      <c r="A23" s="6" t="s">
        <v>100</v>
      </c>
      <c r="B23" s="1"/>
      <c r="C23" s="6" t="s">
        <v>95</v>
      </c>
      <c r="D23" s="6" t="s">
        <v>96</v>
      </c>
      <c r="E23" s="6" t="s">
        <v>97</v>
      </c>
      <c r="F23" s="6" t="s">
        <v>98</v>
      </c>
      <c r="G23" s="6">
        <v>23</v>
      </c>
      <c r="H23" s="6" t="s">
        <v>16</v>
      </c>
      <c r="I23" s="6" t="s">
        <v>16</v>
      </c>
      <c r="J23" s="7" t="s">
        <v>97</v>
      </c>
      <c r="K23" s="7" t="s">
        <v>16</v>
      </c>
      <c r="L23" s="3" t="s">
        <v>16</v>
      </c>
      <c r="M23" s="7" t="s">
        <v>16</v>
      </c>
      <c r="N23" s="8">
        <v>2</v>
      </c>
      <c r="O23" s="4">
        <v>0</v>
      </c>
      <c r="P23" s="9">
        <v>40.200000000000003</v>
      </c>
      <c r="Q23" s="6" t="s">
        <v>22</v>
      </c>
      <c r="R23" s="8">
        <v>58</v>
      </c>
      <c r="S23" s="8">
        <v>31</v>
      </c>
      <c r="T23" s="9">
        <v>37</v>
      </c>
      <c r="U23" s="13">
        <v>316.04510417</v>
      </c>
      <c r="V23" s="13">
        <v>-11.36337778</v>
      </c>
      <c r="W23" s="13"/>
      <c r="X23" s="13"/>
      <c r="Y23" s="13"/>
      <c r="Z23" s="13"/>
      <c r="AA23" s="6" t="s">
        <v>16</v>
      </c>
      <c r="AB23" s="6" t="s">
        <v>16</v>
      </c>
      <c r="AK23" s="40"/>
      <c r="AN23" s="26"/>
      <c r="AO23" s="26"/>
      <c r="AP23" s="26"/>
      <c r="AQ23" s="25"/>
      <c r="AR23" s="26"/>
      <c r="AS23" s="26"/>
      <c r="AT23" s="26"/>
      <c r="AV23" s="9" t="s">
        <v>97</v>
      </c>
      <c r="AW23" s="6" t="s">
        <v>99</v>
      </c>
      <c r="AX23" s="6" t="s">
        <v>137</v>
      </c>
    </row>
    <row r="24" spans="1:64" x14ac:dyDescent="0.3">
      <c r="W24" s="18"/>
    </row>
    <row r="25" spans="1:64" ht="15.75" thickBot="1" x14ac:dyDescent="0.35"/>
    <row r="26" spans="1:64" ht="15.75" thickBot="1" x14ac:dyDescent="0.35">
      <c r="AC26" s="33"/>
      <c r="AD26" s="34"/>
      <c r="AE26" s="34"/>
      <c r="AF26" s="34"/>
      <c r="AG26" s="34"/>
      <c r="AH26" s="34"/>
      <c r="AI26" s="34"/>
      <c r="AJ26" s="34"/>
      <c r="AK26" s="33"/>
      <c r="AL26" s="34"/>
      <c r="AM26" s="34"/>
      <c r="AN26" s="62" t="s">
        <v>136</v>
      </c>
      <c r="AO26" s="63"/>
      <c r="AP26" s="63"/>
      <c r="AQ26" s="63"/>
      <c r="AR26" s="31">
        <f>(AR4+AR6+AR7+AR9+AR10+AR11+AR12+AR13+AR14+AR15+AR16+AR17+AR19+AR20+AR21)/15</f>
        <v>3.0364473233561826</v>
      </c>
    </row>
    <row r="29" spans="1:64" x14ac:dyDescent="0.3">
      <c r="A29" s="65" t="s">
        <v>161</v>
      </c>
      <c r="B29" s="65"/>
      <c r="C29" s="65"/>
      <c r="D29" s="65"/>
      <c r="E29" s="65"/>
    </row>
    <row r="30" spans="1:64" x14ac:dyDescent="0.3">
      <c r="A30" s="65" t="s">
        <v>162</v>
      </c>
      <c r="B30" s="65"/>
      <c r="C30" s="65"/>
      <c r="D30" s="65"/>
      <c r="E30" s="46"/>
    </row>
  </sheetData>
  <autoFilter ref="A3:AX24"/>
  <mergeCells count="9">
    <mergeCell ref="BA1:BH1"/>
    <mergeCell ref="BA2:BF2"/>
    <mergeCell ref="AY21:BL21"/>
    <mergeCell ref="A29:E29"/>
    <mergeCell ref="A30:D30"/>
    <mergeCell ref="AN26:AQ26"/>
    <mergeCell ref="F1:G1"/>
    <mergeCell ref="N1:P1"/>
    <mergeCell ref="Q1:T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pane ySplit="3" topLeftCell="A4" activePane="bottomLeft" state="frozen"/>
      <selection pane="bottomLeft"/>
    </sheetView>
  </sheetViews>
  <sheetFormatPr defaultColWidth="9.109375" defaultRowHeight="15.05" x14ac:dyDescent="0.3"/>
  <cols>
    <col min="1" max="1" width="9.5546875" style="6" bestFit="1" customWidth="1"/>
    <col min="2" max="2" width="5.5546875" style="6" bestFit="1" customWidth="1"/>
    <col min="3" max="3" width="23.6640625" style="6" bestFit="1" customWidth="1"/>
    <col min="4" max="4" width="12.33203125" style="6" bestFit="1" customWidth="1"/>
    <col min="5" max="5" width="11" style="6" bestFit="1" customWidth="1"/>
    <col min="6" max="6" width="6.109375" style="6" hidden="1" customWidth="1"/>
    <col min="7" max="7" width="3" style="6" hidden="1" customWidth="1"/>
    <col min="8" max="8" width="7" style="6" hidden="1" customWidth="1"/>
    <col min="9" max="9" width="9.109375" style="6"/>
    <col min="10" max="10" width="14.109375" style="6" bestFit="1" customWidth="1"/>
    <col min="11" max="11" width="15.33203125" style="6" bestFit="1" customWidth="1"/>
    <col min="12" max="12" width="14.44140625" style="6" bestFit="1" customWidth="1"/>
    <col min="13" max="13" width="40.6640625" style="6" bestFit="1" customWidth="1"/>
    <col min="14" max="14" width="81.5546875" style="6" bestFit="1" customWidth="1"/>
    <col min="15" max="16384" width="9.109375" style="6"/>
  </cols>
  <sheetData>
    <row r="1" spans="1:14" x14ac:dyDescent="0.3">
      <c r="A1" s="6" t="s">
        <v>135</v>
      </c>
      <c r="B1" s="6" t="s">
        <v>0</v>
      </c>
      <c r="C1" s="6" t="s">
        <v>1</v>
      </c>
      <c r="D1" s="6" t="s">
        <v>2</v>
      </c>
      <c r="E1" s="6" t="s">
        <v>3</v>
      </c>
      <c r="F1" s="61" t="s">
        <v>4</v>
      </c>
      <c r="G1" s="61"/>
      <c r="H1" s="6" t="s">
        <v>5</v>
      </c>
      <c r="I1" s="6" t="s">
        <v>6</v>
      </c>
      <c r="J1" s="6" t="s">
        <v>144</v>
      </c>
      <c r="K1" s="6" t="s">
        <v>144</v>
      </c>
      <c r="L1" s="36" t="s">
        <v>13</v>
      </c>
      <c r="M1" s="6" t="s">
        <v>14</v>
      </c>
      <c r="N1" s="6" t="s">
        <v>15</v>
      </c>
    </row>
    <row r="2" spans="1:14" x14ac:dyDescent="0.3">
      <c r="A2" s="6" t="s">
        <v>134</v>
      </c>
      <c r="F2" s="36"/>
      <c r="G2" s="36"/>
      <c r="J2" s="6" t="s">
        <v>145</v>
      </c>
      <c r="K2" s="6" t="s">
        <v>153</v>
      </c>
      <c r="L2" s="36"/>
    </row>
    <row r="3" spans="1:14" x14ac:dyDescent="0.3">
      <c r="F3" s="36"/>
      <c r="G3" s="36"/>
      <c r="L3" s="36"/>
    </row>
    <row r="4" spans="1:14" x14ac:dyDescent="0.3">
      <c r="A4" s="6" t="s">
        <v>82</v>
      </c>
      <c r="B4" s="1">
        <v>0.83333333333333337</v>
      </c>
      <c r="C4" s="37" t="s">
        <v>18</v>
      </c>
      <c r="D4" s="1" t="s">
        <v>19</v>
      </c>
      <c r="E4" s="6" t="s">
        <v>20</v>
      </c>
      <c r="F4" s="6" t="s">
        <v>17</v>
      </c>
      <c r="G4" s="6">
        <v>47</v>
      </c>
      <c r="H4" s="6">
        <v>96265</v>
      </c>
      <c r="I4" s="6" t="s">
        <v>21</v>
      </c>
      <c r="J4" s="6">
        <v>7.0462720000000001</v>
      </c>
      <c r="K4" s="6">
        <f>J4*$L$34</f>
        <v>5.1023851660549022</v>
      </c>
      <c r="L4" s="6" t="s">
        <v>23</v>
      </c>
      <c r="M4" s="6" t="s">
        <v>24</v>
      </c>
      <c r="N4" s="6" t="s">
        <v>19</v>
      </c>
    </row>
    <row r="5" spans="1:14" x14ac:dyDescent="0.3">
      <c r="A5" s="6" t="s">
        <v>82</v>
      </c>
      <c r="B5" s="1">
        <v>0.85416666666666663</v>
      </c>
      <c r="C5" s="18" t="s">
        <v>25</v>
      </c>
      <c r="D5" s="6" t="s">
        <v>26</v>
      </c>
      <c r="E5" s="6" t="s">
        <v>27</v>
      </c>
      <c r="F5" s="6" t="s">
        <v>28</v>
      </c>
      <c r="G5" s="6">
        <v>25</v>
      </c>
      <c r="H5" s="6" t="s">
        <v>16</v>
      </c>
      <c r="I5" s="6" t="s">
        <v>16</v>
      </c>
      <c r="L5" s="6" t="s">
        <v>16</v>
      </c>
      <c r="M5" s="6" t="s">
        <v>29</v>
      </c>
    </row>
    <row r="6" spans="1:14" x14ac:dyDescent="0.3">
      <c r="A6" s="6" t="s">
        <v>82</v>
      </c>
      <c r="B6" s="1">
        <v>0.86805555555555547</v>
      </c>
      <c r="C6" s="17" t="s">
        <v>16</v>
      </c>
      <c r="D6" s="6" t="s">
        <v>30</v>
      </c>
      <c r="E6" s="6" t="s">
        <v>31</v>
      </c>
      <c r="F6" s="6" t="s">
        <v>32</v>
      </c>
      <c r="G6" s="6">
        <v>41</v>
      </c>
      <c r="H6" s="6">
        <v>113271</v>
      </c>
      <c r="I6" s="6">
        <v>27989</v>
      </c>
      <c r="J6" s="6">
        <v>7.7509199999999998</v>
      </c>
      <c r="K6" s="6">
        <f t="shared" ref="K6:K17" si="0">J6*$L$34</f>
        <v>5.6126387444705879</v>
      </c>
      <c r="L6" s="9" t="s">
        <v>33</v>
      </c>
      <c r="M6" s="6" t="s">
        <v>34</v>
      </c>
    </row>
    <row r="7" spans="1:14" x14ac:dyDescent="0.3">
      <c r="A7" s="6" t="s">
        <v>82</v>
      </c>
      <c r="B7" s="1">
        <v>0.875</v>
      </c>
      <c r="C7" s="17" t="s">
        <v>35</v>
      </c>
      <c r="D7" s="1" t="s">
        <v>19</v>
      </c>
      <c r="E7" s="6" t="s">
        <v>36</v>
      </c>
      <c r="F7" s="6" t="s">
        <v>32</v>
      </c>
      <c r="G7" s="6">
        <v>31</v>
      </c>
      <c r="H7" s="6">
        <v>132220</v>
      </c>
      <c r="I7" s="6" t="s">
        <v>37</v>
      </c>
      <c r="J7" s="6">
        <v>8.9725099999999998</v>
      </c>
      <c r="K7" s="6">
        <f t="shared" si="0"/>
        <v>6.4972232020392156</v>
      </c>
      <c r="L7" s="9" t="s">
        <v>39</v>
      </c>
      <c r="M7" s="6" t="s">
        <v>40</v>
      </c>
      <c r="N7" s="6" t="s">
        <v>19</v>
      </c>
    </row>
    <row r="8" spans="1:14" x14ac:dyDescent="0.3">
      <c r="A8" s="6" t="s">
        <v>82</v>
      </c>
      <c r="B8" s="1">
        <v>0.88194444444444453</v>
      </c>
      <c r="C8" s="6" t="s">
        <v>41</v>
      </c>
      <c r="D8" s="6" t="s">
        <v>26</v>
      </c>
      <c r="E8" s="6" t="s">
        <v>42</v>
      </c>
      <c r="F8" s="6" t="s">
        <v>32</v>
      </c>
      <c r="G8" s="6">
        <v>25</v>
      </c>
      <c r="H8" s="6" t="s">
        <v>16</v>
      </c>
      <c r="I8" s="43" t="s">
        <v>128</v>
      </c>
      <c r="J8" s="6">
        <v>9.522934444444445</v>
      </c>
      <c r="K8" s="6">
        <f t="shared" si="0"/>
        <v>6.8957995726884533</v>
      </c>
      <c r="L8" s="6" t="s">
        <v>16</v>
      </c>
      <c r="M8" s="6" t="s">
        <v>43</v>
      </c>
      <c r="N8" s="43" t="s">
        <v>127</v>
      </c>
    </row>
    <row r="9" spans="1:14" x14ac:dyDescent="0.3">
      <c r="A9" s="6" t="s">
        <v>82</v>
      </c>
      <c r="B9" s="1">
        <v>0.90625</v>
      </c>
      <c r="C9" s="17" t="s">
        <v>44</v>
      </c>
      <c r="D9" s="6" t="s">
        <v>30</v>
      </c>
      <c r="E9" s="6" t="s">
        <v>45</v>
      </c>
      <c r="F9" s="6" t="s">
        <v>32</v>
      </c>
      <c r="G9" s="6">
        <v>25</v>
      </c>
      <c r="H9" s="6">
        <v>132346</v>
      </c>
      <c r="I9" s="6">
        <v>26311</v>
      </c>
      <c r="J9" s="6">
        <v>11.170500000000001</v>
      </c>
      <c r="K9" s="6">
        <f t="shared" si="0"/>
        <v>8.0888437882352946</v>
      </c>
      <c r="L9" s="9" t="s">
        <v>46</v>
      </c>
      <c r="M9" s="6" t="s">
        <v>47</v>
      </c>
      <c r="N9" s="6" t="s">
        <v>130</v>
      </c>
    </row>
    <row r="10" spans="1:14" x14ac:dyDescent="0.3">
      <c r="A10" s="6" t="s">
        <v>82</v>
      </c>
      <c r="B10" s="1">
        <v>0.9159722222222223</v>
      </c>
      <c r="C10" s="18" t="s">
        <v>16</v>
      </c>
      <c r="D10" s="6" t="s">
        <v>30</v>
      </c>
      <c r="E10" s="6" t="s">
        <v>48</v>
      </c>
      <c r="F10" s="6" t="s">
        <v>49</v>
      </c>
      <c r="G10" s="6">
        <v>29</v>
      </c>
      <c r="H10" s="6">
        <v>94027</v>
      </c>
      <c r="I10" s="6">
        <v>21421</v>
      </c>
      <c r="J10" s="6">
        <v>9.7887400000000007</v>
      </c>
      <c r="K10" s="6">
        <f t="shared" si="0"/>
        <v>7.0882761509019607</v>
      </c>
      <c r="L10" s="9" t="s">
        <v>50</v>
      </c>
      <c r="M10" s="6" t="s">
        <v>51</v>
      </c>
    </row>
    <row r="11" spans="1:14" x14ac:dyDescent="0.3">
      <c r="A11" s="6" t="s">
        <v>82</v>
      </c>
      <c r="B11" s="1">
        <v>0.92708333333333337</v>
      </c>
      <c r="C11" s="17" t="s">
        <v>53</v>
      </c>
      <c r="D11" s="6" t="s">
        <v>30</v>
      </c>
      <c r="E11" s="6" t="s">
        <v>54</v>
      </c>
      <c r="F11" s="6" t="s">
        <v>55</v>
      </c>
      <c r="G11" s="6">
        <v>47</v>
      </c>
      <c r="H11" s="6">
        <v>44752</v>
      </c>
      <c r="I11" s="6">
        <v>67301</v>
      </c>
      <c r="J11" s="6">
        <v>9.3949633333333331</v>
      </c>
      <c r="K11" s="6">
        <f t="shared" si="0"/>
        <v>6.803132429124183</v>
      </c>
      <c r="L11" s="9" t="s">
        <v>56</v>
      </c>
      <c r="M11" s="6" t="s">
        <v>57</v>
      </c>
    </row>
    <row r="12" spans="1:14" x14ac:dyDescent="0.3">
      <c r="A12" s="6" t="s">
        <v>82</v>
      </c>
      <c r="B12" s="1">
        <v>0.93402777777777779</v>
      </c>
      <c r="C12" s="17" t="s">
        <v>58</v>
      </c>
      <c r="D12" s="1" t="s">
        <v>19</v>
      </c>
      <c r="E12" s="6" t="s">
        <v>59</v>
      </c>
      <c r="F12" s="6" t="s">
        <v>55</v>
      </c>
      <c r="G12" s="6">
        <v>54</v>
      </c>
      <c r="H12" s="6">
        <v>28737</v>
      </c>
      <c r="I12" s="6" t="s">
        <v>60</v>
      </c>
      <c r="J12" s="6">
        <v>9.294456666666667</v>
      </c>
      <c r="K12" s="6">
        <f t="shared" si="0"/>
        <v>6.7303529898562093</v>
      </c>
      <c r="L12" s="9" t="s">
        <v>61</v>
      </c>
      <c r="M12" s="6" t="s">
        <v>57</v>
      </c>
      <c r="N12" s="6" t="s">
        <v>19</v>
      </c>
    </row>
    <row r="13" spans="1:14" x14ac:dyDescent="0.3">
      <c r="A13" s="6" t="s">
        <v>82</v>
      </c>
      <c r="B13" s="1">
        <v>0.9375</v>
      </c>
      <c r="C13" s="17" t="s">
        <v>62</v>
      </c>
      <c r="D13" s="6" t="s">
        <v>30</v>
      </c>
      <c r="E13" s="6" t="s">
        <v>63</v>
      </c>
      <c r="F13" s="6" t="s">
        <v>55</v>
      </c>
      <c r="G13" s="6">
        <v>58</v>
      </c>
      <c r="H13" s="6">
        <v>28553</v>
      </c>
      <c r="I13" s="6">
        <v>62956</v>
      </c>
      <c r="J13" s="6">
        <v>7.5854433333333331</v>
      </c>
      <c r="K13" s="6">
        <f t="shared" si="0"/>
        <v>5.492812872104575</v>
      </c>
      <c r="L13" s="9" t="s">
        <v>64</v>
      </c>
      <c r="M13" s="6" t="s">
        <v>57</v>
      </c>
    </row>
    <row r="14" spans="1:14" x14ac:dyDescent="0.3">
      <c r="A14" s="6" t="s">
        <v>82</v>
      </c>
      <c r="B14" s="1">
        <v>0.94097222222222221</v>
      </c>
      <c r="C14" s="17" t="s">
        <v>65</v>
      </c>
      <c r="D14" s="6" t="s">
        <v>30</v>
      </c>
      <c r="E14" s="6" t="s">
        <v>66</v>
      </c>
      <c r="F14" s="6" t="s">
        <v>55</v>
      </c>
      <c r="G14" s="6">
        <v>65</v>
      </c>
      <c r="H14" s="6">
        <v>28315</v>
      </c>
      <c r="I14" s="6">
        <v>59774</v>
      </c>
      <c r="J14" s="6">
        <v>9.0771333333333342</v>
      </c>
      <c r="K14" s="6">
        <f t="shared" si="0"/>
        <v>6.5729836245751638</v>
      </c>
      <c r="L14" s="9" t="s">
        <v>67</v>
      </c>
      <c r="M14" s="6" t="s">
        <v>57</v>
      </c>
    </row>
    <row r="15" spans="1:14" x14ac:dyDescent="0.3">
      <c r="A15" s="6" t="s">
        <v>82</v>
      </c>
      <c r="B15" s="1">
        <v>0.94444444444444453</v>
      </c>
      <c r="C15" s="17" t="s">
        <v>68</v>
      </c>
      <c r="D15" s="6" t="s">
        <v>30</v>
      </c>
      <c r="E15" s="6" t="s">
        <v>69</v>
      </c>
      <c r="F15" s="6" t="s">
        <v>55</v>
      </c>
      <c r="G15" s="6">
        <v>68</v>
      </c>
      <c r="H15" s="6">
        <v>28179</v>
      </c>
      <c r="I15" s="6">
        <v>58001</v>
      </c>
      <c r="J15" s="6">
        <v>8.664063333333333</v>
      </c>
      <c r="K15" s="6">
        <f t="shared" si="0"/>
        <v>6.273869108339869</v>
      </c>
      <c r="L15" s="9" t="s">
        <v>70</v>
      </c>
      <c r="M15" s="6" t="s">
        <v>57</v>
      </c>
    </row>
    <row r="16" spans="1:14" x14ac:dyDescent="0.3">
      <c r="A16" s="6" t="s">
        <v>82</v>
      </c>
      <c r="B16" s="1">
        <v>0.94791666666666663</v>
      </c>
      <c r="C16" s="17" t="s">
        <v>71</v>
      </c>
      <c r="D16" s="6" t="s">
        <v>30</v>
      </c>
      <c r="E16" s="6" t="s">
        <v>72</v>
      </c>
      <c r="F16" s="6" t="s">
        <v>55</v>
      </c>
      <c r="G16" s="6">
        <v>77</v>
      </c>
      <c r="H16" s="6">
        <v>27876</v>
      </c>
      <c r="I16" s="6">
        <v>53910</v>
      </c>
      <c r="J16" s="6">
        <v>8.6558833333333336</v>
      </c>
      <c r="K16" s="6">
        <f t="shared" si="0"/>
        <v>6.2679457618300658</v>
      </c>
      <c r="L16" s="9" t="s">
        <v>73</v>
      </c>
      <c r="M16" s="6" t="s">
        <v>57</v>
      </c>
    </row>
    <row r="17" spans="1:14" x14ac:dyDescent="0.3">
      <c r="A17" s="6" t="s">
        <v>82</v>
      </c>
      <c r="B17" s="1">
        <v>0.95138888888888884</v>
      </c>
      <c r="C17" s="17" t="s">
        <v>74</v>
      </c>
      <c r="D17" s="1" t="s">
        <v>19</v>
      </c>
      <c r="E17" s="6" t="s">
        <v>75</v>
      </c>
      <c r="F17" s="6" t="s">
        <v>52</v>
      </c>
      <c r="G17" s="6">
        <v>75</v>
      </c>
      <c r="H17" s="6">
        <v>15384</v>
      </c>
      <c r="I17" s="6" t="s">
        <v>76</v>
      </c>
      <c r="J17" s="6">
        <v>8.367073333333332</v>
      </c>
      <c r="K17" s="6">
        <f t="shared" si="0"/>
        <v>6.058811079006535</v>
      </c>
      <c r="L17" s="9" t="s">
        <v>77</v>
      </c>
      <c r="M17" s="6" t="s">
        <v>57</v>
      </c>
      <c r="N17" s="6" t="s">
        <v>19</v>
      </c>
    </row>
    <row r="18" spans="1:14" x14ac:dyDescent="0.3">
      <c r="A18" s="6" t="s">
        <v>82</v>
      </c>
      <c r="B18" s="1">
        <v>0.95833333333333337</v>
      </c>
      <c r="C18" s="6" t="s">
        <v>78</v>
      </c>
      <c r="D18" s="6" t="s">
        <v>79</v>
      </c>
      <c r="E18" s="6" t="s">
        <v>78</v>
      </c>
      <c r="F18" s="6" t="s">
        <v>80</v>
      </c>
      <c r="G18" s="6">
        <v>22</v>
      </c>
      <c r="H18" s="6" t="s">
        <v>16</v>
      </c>
      <c r="I18" s="6" t="s">
        <v>16</v>
      </c>
      <c r="L18" s="9" t="s">
        <v>16</v>
      </c>
      <c r="M18" s="6" t="s">
        <v>81</v>
      </c>
      <c r="N18" s="6" t="s">
        <v>106</v>
      </c>
    </row>
    <row r="19" spans="1:14" x14ac:dyDescent="0.3">
      <c r="A19" s="47" t="s">
        <v>100</v>
      </c>
      <c r="B19" s="48">
        <v>0.83333333333333337</v>
      </c>
      <c r="C19" s="68" t="s">
        <v>83</v>
      </c>
      <c r="D19" s="47" t="s">
        <v>30</v>
      </c>
      <c r="E19" s="47" t="s">
        <v>84</v>
      </c>
      <c r="F19" s="47" t="s">
        <v>85</v>
      </c>
      <c r="G19" s="47">
        <v>36</v>
      </c>
      <c r="H19" s="47" t="s">
        <v>16</v>
      </c>
      <c r="I19" s="47">
        <v>17573</v>
      </c>
      <c r="J19" s="47">
        <v>7.9487016666666674</v>
      </c>
      <c r="K19" s="47">
        <f>J19*$L$34</f>
        <v>5.7558574907973856</v>
      </c>
      <c r="L19" s="52" t="s">
        <v>86</v>
      </c>
      <c r="M19" s="47" t="s">
        <v>87</v>
      </c>
      <c r="N19" s="47"/>
    </row>
    <row r="20" spans="1:14" x14ac:dyDescent="0.3">
      <c r="A20" s="6" t="s">
        <v>100</v>
      </c>
      <c r="B20" s="1">
        <v>0.84722222222222221</v>
      </c>
      <c r="C20" s="17" t="s">
        <v>41</v>
      </c>
      <c r="D20" s="6" t="s">
        <v>26</v>
      </c>
      <c r="E20" s="6" t="s">
        <v>42</v>
      </c>
      <c r="F20" s="6" t="s">
        <v>32</v>
      </c>
      <c r="G20" s="6">
        <v>23</v>
      </c>
      <c r="H20" s="6" t="s">
        <v>16</v>
      </c>
      <c r="I20" s="6" t="s">
        <v>128</v>
      </c>
      <c r="J20" s="6">
        <v>5.9051499999999999</v>
      </c>
      <c r="K20" s="6">
        <f>J20*$L$34</f>
        <v>4.2760696384313723</v>
      </c>
      <c r="L20" s="6" t="s">
        <v>16</v>
      </c>
      <c r="M20" s="6" t="s">
        <v>88</v>
      </c>
      <c r="N20" s="6" t="s">
        <v>127</v>
      </c>
    </row>
    <row r="21" spans="1:14" x14ac:dyDescent="0.3">
      <c r="A21" s="6" t="s">
        <v>100</v>
      </c>
      <c r="B21" s="1">
        <v>0.96527777777777779</v>
      </c>
      <c r="C21" s="17" t="s">
        <v>89</v>
      </c>
      <c r="D21" s="6" t="s">
        <v>30</v>
      </c>
      <c r="E21" s="6" t="s">
        <v>90</v>
      </c>
      <c r="F21" s="6" t="s">
        <v>85</v>
      </c>
      <c r="G21" s="6">
        <v>27</v>
      </c>
      <c r="H21" s="6" t="s">
        <v>16</v>
      </c>
      <c r="I21" s="6">
        <v>31635</v>
      </c>
      <c r="J21" s="6">
        <v>18.432680000000001</v>
      </c>
      <c r="K21" s="6">
        <f>J21*$L$34</f>
        <v>13.347573440627452</v>
      </c>
      <c r="L21" s="9" t="s">
        <v>91</v>
      </c>
      <c r="M21" s="6" t="s">
        <v>92</v>
      </c>
    </row>
    <row r="22" spans="1:14" x14ac:dyDescent="0.3">
      <c r="A22" s="6" t="s">
        <v>100</v>
      </c>
      <c r="B22" s="1">
        <v>0.98611111111111116</v>
      </c>
      <c r="C22" s="6" t="s">
        <v>78</v>
      </c>
      <c r="D22" s="6" t="s">
        <v>79</v>
      </c>
      <c r="E22" s="6" t="s">
        <v>78</v>
      </c>
      <c r="F22" s="6" t="s">
        <v>93</v>
      </c>
      <c r="G22" s="6">
        <v>32</v>
      </c>
      <c r="H22" s="6" t="s">
        <v>16</v>
      </c>
      <c r="I22" s="6" t="s">
        <v>16</v>
      </c>
      <c r="L22" s="9" t="s">
        <v>16</v>
      </c>
      <c r="M22" s="43" t="s">
        <v>160</v>
      </c>
      <c r="N22" s="6" t="s">
        <v>94</v>
      </c>
    </row>
    <row r="23" spans="1:14" x14ac:dyDescent="0.3">
      <c r="A23" s="6" t="s">
        <v>100</v>
      </c>
      <c r="B23" s="1">
        <v>0.99930555555555556</v>
      </c>
      <c r="C23" s="6" t="s">
        <v>95</v>
      </c>
      <c r="D23" s="6" t="s">
        <v>96</v>
      </c>
      <c r="E23" s="6" t="s">
        <v>97</v>
      </c>
      <c r="F23" s="6" t="s">
        <v>98</v>
      </c>
      <c r="G23" s="6">
        <v>23</v>
      </c>
      <c r="H23" s="6" t="s">
        <v>16</v>
      </c>
      <c r="I23" s="6" t="s">
        <v>16</v>
      </c>
      <c r="L23" s="9" t="s">
        <v>97</v>
      </c>
      <c r="M23" s="6" t="s">
        <v>99</v>
      </c>
      <c r="N23" s="6" t="s">
        <v>137</v>
      </c>
    </row>
    <row r="29" spans="1:14" x14ac:dyDescent="0.3">
      <c r="E29" s="6">
        <v>1.5459999999999999E-4</v>
      </c>
      <c r="I29" s="6">
        <f>E29*60</f>
        <v>9.2759999999999995E-3</v>
      </c>
      <c r="K29" s="6" t="s">
        <v>146</v>
      </c>
      <c r="L29" s="6" t="s">
        <v>147</v>
      </c>
    </row>
    <row r="30" spans="1:14" x14ac:dyDescent="0.3">
      <c r="M30" s="6" t="s">
        <v>149</v>
      </c>
    </row>
    <row r="32" spans="1:14" x14ac:dyDescent="0.3">
      <c r="L32" s="6">
        <f>6.89*1.34</f>
        <v>9.2325999999999997</v>
      </c>
      <c r="M32" s="6" t="s">
        <v>148</v>
      </c>
    </row>
    <row r="33" spans="3:13" x14ac:dyDescent="0.3">
      <c r="L33" s="6">
        <f>L32/765</f>
        <v>1.206875816993464E-2</v>
      </c>
      <c r="M33" s="6" t="s">
        <v>151</v>
      </c>
    </row>
    <row r="34" spans="3:13" x14ac:dyDescent="0.3">
      <c r="L34" s="6">
        <f>L33*60</f>
        <v>0.72412549019607841</v>
      </c>
      <c r="M34" s="6" t="s">
        <v>152</v>
      </c>
    </row>
    <row r="37" spans="3:13" x14ac:dyDescent="0.3">
      <c r="C37" s="6" t="s">
        <v>150</v>
      </c>
      <c r="M37" s="6" t="s">
        <v>154</v>
      </c>
    </row>
    <row r="39" spans="3:13" x14ac:dyDescent="0.3">
      <c r="L39" s="6">
        <f>1.34*4.59</f>
        <v>6.1505999999999998</v>
      </c>
      <c r="M39" s="6" t="s">
        <v>155</v>
      </c>
    </row>
    <row r="40" spans="3:13" x14ac:dyDescent="0.3">
      <c r="L40" s="6">
        <v>1.206E-2</v>
      </c>
      <c r="M40" s="6" t="s">
        <v>151</v>
      </c>
    </row>
    <row r="41" spans="3:13" x14ac:dyDescent="0.3">
      <c r="L41" s="6">
        <v>0.72360000000000002</v>
      </c>
      <c r="M41" s="6" t="s">
        <v>152</v>
      </c>
    </row>
  </sheetData>
  <autoFilter ref="A3:N23"/>
  <mergeCells count="1"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r' Magnitude Calibration</vt:lpstr>
      <vt:lpstr>Seeing</vt:lpstr>
      <vt:lpstr>Seeing, 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Mum and Dad</cp:lastModifiedBy>
  <dcterms:created xsi:type="dcterms:W3CDTF">2011-04-30T23:45:15Z</dcterms:created>
  <dcterms:modified xsi:type="dcterms:W3CDTF">2013-06-09T10:05:47Z</dcterms:modified>
</cp:coreProperties>
</file>